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W:\Highway\Bridge\DesignApplications\LRFD Official\ApplicationStorage\Bridges\"/>
    </mc:Choice>
  </mc:AlternateContent>
  <bookViews>
    <workbookView xWindow="480" yWindow="180" windowWidth="23955" windowHeight="11955"/>
  </bookViews>
  <sheets>
    <sheet name="Introduction" sheetId="3" r:id="rId1"/>
    <sheet name="AASHTO 2014" sheetId="1" r:id="rId2"/>
    <sheet name="AASHTO 2017" sheetId="2" r:id="rId3"/>
    <sheet name="2017 Figures" sheetId="4" r:id="rId4"/>
  </sheets>
  <definedNames>
    <definedName name="_xlnm.Print_Area" localSheetId="1">'AASHTO 2014'!$A$1:$R$53</definedName>
  </definedNames>
  <calcPr calcId="171027"/>
</workbook>
</file>

<file path=xl/calcChain.xml><?xml version="1.0" encoding="utf-8"?>
<calcChain xmlns="http://schemas.openxmlformats.org/spreadsheetml/2006/main">
  <c r="D27" i="1" l="1"/>
  <c r="D14" i="2"/>
  <c r="G52" i="1" l="1"/>
  <c r="G51" i="1"/>
  <c r="G50" i="1"/>
  <c r="G49" i="1"/>
  <c r="G48" i="1"/>
  <c r="G47" i="1"/>
  <c r="G46" i="1"/>
  <c r="G45" i="1"/>
  <c r="G44" i="1"/>
  <c r="G43" i="1"/>
  <c r="G42" i="1"/>
  <c r="I51" i="1"/>
  <c r="I50" i="1"/>
  <c r="I49" i="1"/>
  <c r="I48" i="1"/>
  <c r="I47" i="1"/>
  <c r="I46" i="1"/>
  <c r="I45" i="1"/>
  <c r="I44" i="1"/>
  <c r="I52" i="1"/>
  <c r="I43" i="1"/>
  <c r="I42" i="1"/>
  <c r="G54" i="2"/>
  <c r="G53" i="2"/>
  <c r="G52" i="2"/>
  <c r="G51" i="2"/>
  <c r="G50" i="2"/>
  <c r="G49" i="2"/>
  <c r="G48" i="2"/>
  <c r="G47" i="2"/>
  <c r="G55" i="2"/>
  <c r="G46" i="2"/>
  <c r="G45" i="2"/>
  <c r="H25" i="3" l="1"/>
  <c r="O22" i="2" l="1"/>
  <c r="H52" i="2" s="1"/>
  <c r="I55" i="2"/>
  <c r="I54" i="2"/>
  <c r="I53" i="2"/>
  <c r="I52" i="2"/>
  <c r="I51" i="2"/>
  <c r="I50" i="2"/>
  <c r="I49" i="2"/>
  <c r="I48" i="2"/>
  <c r="I47" i="2"/>
  <c r="I46" i="2"/>
  <c r="I45" i="2"/>
  <c r="E55" i="2"/>
  <c r="E54" i="2"/>
  <c r="E53" i="2"/>
  <c r="E52" i="2"/>
  <c r="E51" i="2"/>
  <c r="E50" i="2"/>
  <c r="E49" i="2"/>
  <c r="E48" i="2"/>
  <c r="E47" i="2"/>
  <c r="E46" i="2"/>
  <c r="E45" i="2"/>
  <c r="E42" i="1"/>
  <c r="H46" i="2" l="1"/>
  <c r="H47" i="2"/>
  <c r="H45" i="2"/>
  <c r="H48" i="2"/>
  <c r="H50" i="2"/>
  <c r="H53" i="2"/>
  <c r="H54" i="2"/>
  <c r="H55" i="2"/>
  <c r="H49" i="2"/>
  <c r="H51" i="2"/>
  <c r="D37" i="1"/>
  <c r="D36" i="1"/>
  <c r="H52" i="1"/>
  <c r="H51" i="1"/>
  <c r="H50" i="1"/>
  <c r="H49" i="1"/>
  <c r="H48" i="1"/>
  <c r="H47" i="1"/>
  <c r="H46" i="1"/>
  <c r="H45" i="1"/>
  <c r="H44" i="1"/>
  <c r="H43" i="1"/>
  <c r="H42" i="1"/>
  <c r="E52" i="1"/>
  <c r="E51" i="1"/>
  <c r="E50" i="1"/>
  <c r="E49" i="1"/>
  <c r="E48" i="1"/>
  <c r="E47" i="1"/>
  <c r="E46" i="1"/>
  <c r="E45" i="1"/>
  <c r="E44" i="1"/>
  <c r="E43" i="1"/>
  <c r="D15" i="1" l="1"/>
  <c r="D14" i="1" l="1"/>
  <c r="D17" i="1" s="1"/>
  <c r="D32" i="2" l="1"/>
  <c r="D40" i="2"/>
  <c r="D34" i="2"/>
  <c r="D39" i="2"/>
  <c r="D36" i="2"/>
  <c r="D33" i="2"/>
  <c r="D31" i="2"/>
  <c r="D38" i="2"/>
  <c r="D30" i="2"/>
  <c r="D37" i="2"/>
  <c r="D35" i="2"/>
  <c r="D55" i="2"/>
  <c r="F55" i="2" s="1"/>
  <c r="D51" i="2"/>
  <c r="F51" i="2" s="1"/>
  <c r="D54" i="2"/>
  <c r="F54" i="2" s="1"/>
  <c r="D50" i="2"/>
  <c r="F50" i="2" s="1"/>
  <c r="D53" i="2"/>
  <c r="F53" i="2" s="1"/>
  <c r="D52" i="2"/>
  <c r="F52" i="2" s="1"/>
  <c r="D49" i="2"/>
  <c r="F49" i="2" s="1"/>
  <c r="D48" i="2"/>
  <c r="F48" i="2" s="1"/>
  <c r="D47" i="2"/>
  <c r="F47" i="2" s="1"/>
  <c r="D46" i="2"/>
  <c r="F46" i="2" s="1"/>
  <c r="D45" i="2"/>
  <c r="F45" i="2" s="1"/>
  <c r="D17" i="2"/>
  <c r="D16" i="2"/>
  <c r="D15" i="2"/>
  <c r="D19" i="2"/>
  <c r="J53" i="2" l="1"/>
  <c r="E38" i="2" s="1"/>
  <c r="F38" i="2" s="1"/>
  <c r="J55" i="2"/>
  <c r="E40" i="2" s="1"/>
  <c r="F40" i="2" s="1"/>
  <c r="G40" i="2" s="1"/>
  <c r="J51" i="2"/>
  <c r="E36" i="2" s="1"/>
  <c r="F36" i="2" s="1"/>
  <c r="J45" i="2"/>
  <c r="E30" i="2" s="1"/>
  <c r="F30" i="2" s="1"/>
  <c r="J54" i="2"/>
  <c r="E39" i="2" s="1"/>
  <c r="F39" i="2" s="1"/>
  <c r="G39" i="2" s="1"/>
  <c r="J46" i="2"/>
  <c r="E31" i="2" s="1"/>
  <c r="F31" i="2" s="1"/>
  <c r="J47" i="2"/>
  <c r="E32" i="2" s="1"/>
  <c r="F32" i="2" s="1"/>
  <c r="J48" i="2"/>
  <c r="E33" i="2" s="1"/>
  <c r="F33" i="2" s="1"/>
  <c r="J49" i="2"/>
  <c r="E34" i="2" s="1"/>
  <c r="F34" i="2" s="1"/>
  <c r="J50" i="2"/>
  <c r="E35" i="2" s="1"/>
  <c r="F35" i="2" s="1"/>
  <c r="J52" i="2"/>
  <c r="E37" i="2" s="1"/>
  <c r="F37" i="2" s="1"/>
  <c r="G37" i="2" l="1"/>
  <c r="G36" i="2"/>
  <c r="G35" i="2"/>
  <c r="G33" i="2"/>
  <c r="G31" i="2"/>
  <c r="G30" i="2"/>
  <c r="G38" i="2"/>
  <c r="G32" i="2"/>
  <c r="G34" i="2"/>
  <c r="D43" i="1"/>
  <c r="F43" i="1" s="1"/>
  <c r="J43" i="1" s="1"/>
  <c r="D44" i="1"/>
  <c r="F44" i="1" s="1"/>
  <c r="J44" i="1" s="1"/>
  <c r="D45" i="1"/>
  <c r="F45" i="1" s="1"/>
  <c r="J45" i="1" s="1"/>
  <c r="D46" i="1"/>
  <c r="F46" i="1" s="1"/>
  <c r="J46" i="1" s="1"/>
  <c r="D47" i="1"/>
  <c r="F47" i="1" s="1"/>
  <c r="J47" i="1" s="1"/>
  <c r="D48" i="1"/>
  <c r="F48" i="1" s="1"/>
  <c r="J48" i="1" s="1"/>
  <c r="D49" i="1"/>
  <c r="F49" i="1" s="1"/>
  <c r="J49" i="1" s="1"/>
  <c r="D50" i="1"/>
  <c r="F50" i="1" s="1"/>
  <c r="J50" i="1" s="1"/>
  <c r="D51" i="1"/>
  <c r="F51" i="1" s="1"/>
  <c r="J51" i="1" s="1"/>
  <c r="D52" i="1"/>
  <c r="F52" i="1" s="1"/>
  <c r="J52" i="1" s="1"/>
  <c r="D42" i="1"/>
  <c r="F42" i="1" s="1"/>
  <c r="J42" i="1" s="1"/>
  <c r="H30" i="2" l="1"/>
  <c r="I30" i="2"/>
  <c r="H35" i="2"/>
  <c r="I35" i="2"/>
  <c r="H34" i="2"/>
  <c r="I34" i="2"/>
  <c r="H38" i="2"/>
  <c r="I38" i="2"/>
  <c r="H33" i="2"/>
  <c r="I33" i="2"/>
  <c r="H36" i="2"/>
  <c r="I36" i="2"/>
  <c r="H32" i="2"/>
  <c r="I32" i="2"/>
  <c r="H31" i="2"/>
  <c r="I31" i="2"/>
  <c r="H37" i="2"/>
  <c r="I37" i="2"/>
  <c r="E27" i="1"/>
  <c r="I27" i="1" s="1"/>
  <c r="E37" i="1"/>
  <c r="F37" i="1" s="1"/>
  <c r="E36" i="1"/>
  <c r="F36" i="1" s="1"/>
  <c r="E35" i="1"/>
  <c r="E34" i="1"/>
  <c r="E28" i="1"/>
  <c r="E29" i="1"/>
  <c r="E33" i="1"/>
  <c r="E32" i="1"/>
  <c r="E31" i="1"/>
  <c r="E30" i="1"/>
  <c r="D28" i="1"/>
  <c r="D29" i="1"/>
  <c r="D30" i="1"/>
  <c r="D31" i="1"/>
  <c r="D32" i="1"/>
  <c r="D33" i="1"/>
  <c r="D34" i="1"/>
  <c r="D35" i="1"/>
  <c r="G27" i="1" l="1"/>
  <c r="F27" i="1"/>
  <c r="H27" i="1"/>
  <c r="F28" i="1"/>
  <c r="I28" i="1"/>
  <c r="H28" i="1"/>
  <c r="G28" i="1"/>
  <c r="H30" i="1"/>
  <c r="I30" i="1"/>
  <c r="G30" i="1"/>
  <c r="F30" i="1"/>
  <c r="I33" i="1"/>
  <c r="H33" i="1"/>
  <c r="G33" i="1"/>
  <c r="F33" i="1"/>
  <c r="I34" i="1"/>
  <c r="H34" i="1"/>
  <c r="G34" i="1"/>
  <c r="F34" i="1"/>
  <c r="F32" i="1"/>
  <c r="H32" i="1"/>
  <c r="I32" i="1"/>
  <c r="G32" i="1"/>
  <c r="H29" i="1"/>
  <c r="F29" i="1"/>
  <c r="G29" i="1"/>
  <c r="I29" i="1"/>
  <c r="I35" i="1"/>
  <c r="H35" i="1"/>
  <c r="F35" i="1"/>
  <c r="G35" i="1"/>
  <c r="I31" i="1"/>
  <c r="H31" i="1"/>
  <c r="G31" i="1"/>
  <c r="F31" i="1"/>
</calcChain>
</file>

<file path=xl/comments1.xml><?xml version="1.0" encoding="utf-8"?>
<comments xmlns="http://schemas.openxmlformats.org/spreadsheetml/2006/main">
  <authors>
    <author>Nop, Michael</author>
  </authors>
  <commentList>
    <comment ref="H7" authorId="0" shapeId="0">
      <text>
        <r>
          <rPr>
            <sz val="9"/>
            <color indexed="81"/>
            <rFont val="Tahoma"/>
            <family val="2"/>
          </rPr>
          <t>Horizontal or nearly horizontal reinforcement so placed that more than 12" of fresh concrete is cast below the reinforcement.</t>
        </r>
      </text>
    </comment>
    <comment ref="C8" authorId="0" shapeId="0">
      <text>
        <r>
          <rPr>
            <sz val="9"/>
            <color indexed="81"/>
            <rFont val="Tahoma"/>
            <family val="2"/>
          </rPr>
          <t>Maximum of 15 ksi for #11 bars and smaller. Maximum of 10 ksi for bars larger than #11s. See Art. 5.4.2.4 and  5.11.1.</t>
        </r>
      </text>
    </comment>
    <comment ref="C12" authorId="0" shapeId="0">
      <text>
        <r>
          <rPr>
            <sz val="9"/>
            <color indexed="81"/>
            <rFont val="Tahoma"/>
            <family val="2"/>
          </rPr>
          <t>Valid for unit weights between 0.090 and 0.155 kcf per Art. 5.4.2.4.</t>
        </r>
      </text>
    </comment>
    <comment ref="H13" authorId="0" shapeId="0">
      <text>
        <r>
          <rPr>
            <sz val="9"/>
            <color indexed="81"/>
            <rFont val="Tahoma"/>
            <family val="2"/>
          </rPr>
          <t>The user should enter 1.000 for normal weight concrete. The user will need to calculate a value for lightweight concrete.</t>
        </r>
      </text>
    </comment>
    <comment ref="C15" authorId="0" shapeId="0">
      <text>
        <r>
          <rPr>
            <sz val="9"/>
            <color indexed="81"/>
            <rFont val="Tahoma"/>
            <family val="2"/>
          </rPr>
          <t>Approximation for normal weight concrete with a unit weight of 0.145 kcf.</t>
        </r>
      </text>
    </comment>
    <comment ref="C21" authorId="0" shapeId="0">
      <text>
        <r>
          <rPr>
            <sz val="9"/>
            <color indexed="81"/>
            <rFont val="Tahoma"/>
            <family val="2"/>
          </rPr>
          <t>Maximum of 100 ksi per Art. 5.4.3.1, 5.4.3.3, 5.11.1.1 and 5.11.2.</t>
        </r>
      </text>
    </comment>
  </commentList>
</comments>
</file>

<file path=xl/comments2.xml><?xml version="1.0" encoding="utf-8"?>
<comments xmlns="http://schemas.openxmlformats.org/spreadsheetml/2006/main">
  <authors>
    <author>Nop, Michael</author>
  </authors>
  <commentList>
    <comment ref="H5" authorId="0" shapeId="0">
      <text>
        <r>
          <rPr>
            <sz val="9"/>
            <color indexed="81"/>
            <rFont val="Tahoma"/>
            <family val="2"/>
          </rPr>
          <t>If "Y" then a 1.3 factor is used. If "N" then a 1.0 is used unless f'c &gt; 10 ksi in which case the factor is 1.3.</t>
        </r>
      </text>
    </comment>
    <comment ref="C8" authorId="0" shapeId="0">
      <text>
        <r>
          <rPr>
            <sz val="9"/>
            <color indexed="81"/>
            <rFont val="Tahoma"/>
            <family val="2"/>
          </rPr>
          <t>Maximum of 15 ksi for #11 bars and smaller. Maximum of 10 ksi for bars larger than #11s. See Art. 5.4.2.4 and  5.11.1.</t>
        </r>
      </text>
    </comment>
    <comment ref="C12" authorId="0" shapeId="0">
      <text>
        <r>
          <rPr>
            <sz val="9"/>
            <color indexed="81"/>
            <rFont val="Tahoma"/>
            <family val="2"/>
          </rPr>
          <t>Valid for unit weights between 0.090 and 0.155 kcf per Art. 5.4.2.4.</t>
        </r>
      </text>
    </comment>
    <comment ref="H14" authorId="0" shapeId="0">
      <text>
        <r>
          <rPr>
            <sz val="9"/>
            <color indexed="81"/>
            <rFont val="Tahoma"/>
            <family val="2"/>
          </rPr>
          <t>The concrete density modification factor was introduced in the 2016 Interims (Art. 5.4.2.8 and 5.11.2.1.1). See Art. 5.4.2.8 and 5.10.8.2.1b in the 2017, 8th edition. This factor replaced the lightweight concrete factor in the 2015 Interims. The user should enter 1.000 for normal weight concrete. The value entered should be less than 1 for lightweight concrete.</t>
        </r>
      </text>
    </comment>
    <comment ref="C17" authorId="0" shapeId="0">
      <text>
        <r>
          <rPr>
            <sz val="9"/>
            <color indexed="81"/>
            <rFont val="Tahoma"/>
            <family val="2"/>
          </rPr>
          <t>Approximation for normal weight concrete with a unit weight of 0.145 kcf.</t>
        </r>
      </text>
    </comment>
    <comment ref="C23" authorId="0" shapeId="0">
      <text>
        <r>
          <rPr>
            <sz val="9"/>
            <color indexed="81"/>
            <rFont val="Tahoma"/>
            <family val="2"/>
          </rPr>
          <t>Maximum of 100 ksi per Art. 5.4.3.1, 5.4.3.3, 5.10.8.1.1 and 5.10.8.2.</t>
        </r>
      </text>
    </comment>
  </commentList>
</comments>
</file>

<file path=xl/sharedStrings.xml><?xml version="1.0" encoding="utf-8"?>
<sst xmlns="http://schemas.openxmlformats.org/spreadsheetml/2006/main" count="245" uniqueCount="151">
  <si>
    <t>Bar Size</t>
  </si>
  <si>
    <t>#3</t>
  </si>
  <si>
    <t>#4</t>
  </si>
  <si>
    <t>#5</t>
  </si>
  <si>
    <t>#6</t>
  </si>
  <si>
    <t>#7</t>
  </si>
  <si>
    <t>#8</t>
  </si>
  <si>
    <t>#9</t>
  </si>
  <si>
    <t>#10</t>
  </si>
  <si>
    <t>#11</t>
  </si>
  <si>
    <t>#14</t>
  </si>
  <si>
    <t>#18</t>
  </si>
  <si>
    <t>Bar Dia. (in)</t>
  </si>
  <si>
    <t>Bar Wgt (lbs/ft)</t>
  </si>
  <si>
    <t>Top Bar Factor</t>
  </si>
  <si>
    <t>Epoxy Factor</t>
  </si>
  <si>
    <t>Combined Top Bar and Epoxy Factor (Max of 1.7)</t>
  </si>
  <si>
    <t>Spacing Factor</t>
  </si>
  <si>
    <t>N/A</t>
  </si>
  <si>
    <r>
      <t>Bar Area (in</t>
    </r>
    <r>
      <rPr>
        <vertAlign val="superscript"/>
        <sz val="10"/>
        <color theme="1"/>
        <rFont val="Arial"/>
        <family val="2"/>
      </rPr>
      <t>2</t>
    </r>
    <r>
      <rPr>
        <sz val="10"/>
        <color theme="1"/>
        <rFont val="Arial"/>
        <family val="2"/>
      </rPr>
      <t>)</t>
    </r>
  </si>
  <si>
    <t>AASHTO LRFD 5.11</t>
  </si>
  <si>
    <t>Concrete Input</t>
  </si>
  <si>
    <t>Reinforcement Input</t>
  </si>
  <si>
    <t xml:space="preserve"> Typ. 4 ksi</t>
  </si>
  <si>
    <t xml:space="preserve"> Typ. 0.150 kcf</t>
  </si>
  <si>
    <t>Concrete Modulus of Elasticity</t>
  </si>
  <si>
    <t xml:space="preserve"> Art. 5.4.2.4</t>
  </si>
  <si>
    <t xml:space="preserve"> Art. C5.4.2.4</t>
  </si>
  <si>
    <r>
      <t>#1.    E</t>
    </r>
    <r>
      <rPr>
        <vertAlign val="subscript"/>
        <sz val="10"/>
        <color theme="1"/>
        <rFont val="Arial"/>
        <family val="2"/>
      </rPr>
      <t>c</t>
    </r>
    <r>
      <rPr>
        <sz val="10"/>
        <color theme="1"/>
        <rFont val="Arial"/>
        <family val="2"/>
      </rPr>
      <t xml:space="preserve"> (ksi) = 33,000 K</t>
    </r>
    <r>
      <rPr>
        <vertAlign val="subscript"/>
        <sz val="10"/>
        <color theme="1"/>
        <rFont val="Arial"/>
        <family val="2"/>
      </rPr>
      <t>1</t>
    </r>
    <r>
      <rPr>
        <sz val="10"/>
        <color theme="1"/>
        <rFont val="Arial"/>
        <family val="2"/>
      </rPr>
      <t xml:space="preserve"> w</t>
    </r>
    <r>
      <rPr>
        <vertAlign val="subscript"/>
        <sz val="10"/>
        <color theme="1"/>
        <rFont val="Arial"/>
        <family val="2"/>
      </rPr>
      <t>c</t>
    </r>
    <r>
      <rPr>
        <vertAlign val="superscript"/>
        <sz val="10"/>
        <color theme="1"/>
        <rFont val="Arial"/>
        <family val="2"/>
      </rPr>
      <t>1.5</t>
    </r>
    <r>
      <rPr>
        <sz val="10"/>
        <color theme="1"/>
        <rFont val="Arial"/>
        <family val="2"/>
      </rPr>
      <t xml:space="preserve"> (f'</t>
    </r>
    <r>
      <rPr>
        <vertAlign val="subscript"/>
        <sz val="10"/>
        <color theme="1"/>
        <rFont val="Arial"/>
        <family val="2"/>
      </rPr>
      <t>c</t>
    </r>
    <r>
      <rPr>
        <sz val="10"/>
        <color theme="1"/>
        <rFont val="Arial"/>
        <family val="2"/>
      </rPr>
      <t>)</t>
    </r>
    <r>
      <rPr>
        <vertAlign val="superscript"/>
        <sz val="10"/>
        <color theme="1"/>
        <rFont val="Arial"/>
        <family val="2"/>
      </rPr>
      <t>0.5</t>
    </r>
  </si>
  <si>
    <r>
      <t>#2.    E</t>
    </r>
    <r>
      <rPr>
        <vertAlign val="subscript"/>
        <sz val="10"/>
        <color theme="1"/>
        <rFont val="Arial"/>
        <family val="2"/>
      </rPr>
      <t>c</t>
    </r>
    <r>
      <rPr>
        <sz val="10"/>
        <color theme="1"/>
        <rFont val="Arial"/>
        <family val="2"/>
      </rPr>
      <t xml:space="preserve"> (ksi) = 1,820 (f'</t>
    </r>
    <r>
      <rPr>
        <vertAlign val="subscript"/>
        <sz val="10"/>
        <color theme="1"/>
        <rFont val="Arial"/>
        <family val="2"/>
      </rPr>
      <t>c</t>
    </r>
    <r>
      <rPr>
        <sz val="10"/>
        <color theme="1"/>
        <rFont val="Arial"/>
        <family val="2"/>
      </rPr>
      <t>)</t>
    </r>
    <r>
      <rPr>
        <vertAlign val="superscript"/>
        <sz val="10"/>
        <color theme="1"/>
        <rFont val="Arial"/>
        <family val="2"/>
      </rPr>
      <t>0.5</t>
    </r>
  </si>
  <si>
    <t xml:space="preserve"> Typ. 1.000</t>
  </si>
  <si>
    <r>
      <t>Base E</t>
    </r>
    <r>
      <rPr>
        <vertAlign val="subscript"/>
        <sz val="10"/>
        <color theme="1"/>
        <rFont val="Arial"/>
        <family val="2"/>
      </rPr>
      <t>c</t>
    </r>
    <r>
      <rPr>
        <sz val="10"/>
        <color theme="1"/>
        <rFont val="Arial"/>
        <family val="2"/>
      </rPr>
      <t xml:space="preserve"> on #1 or #2? Enter 1 or 2.</t>
    </r>
  </si>
  <si>
    <t>Top Bar? Enter Y or N.</t>
  </si>
  <si>
    <t>AASHTO LRFD 7th Edition, 2014, and Earlier</t>
  </si>
  <si>
    <t>Y</t>
  </si>
  <si>
    <t xml:space="preserve">         Cover &lt; 3db? Enter Y or N.</t>
  </si>
  <si>
    <t>N</t>
  </si>
  <si>
    <t xml:space="preserve"> Typ. 60 ksi</t>
  </si>
  <si>
    <t>Center to Center Lateral Bar Spacing &gt;= 6" and Clear Cover in Direction of Spacing &gt;= 3"? Enter Y or N.</t>
  </si>
  <si>
    <t>Tension Rebar Development and Lap Splice Lengths</t>
  </si>
  <si>
    <r>
      <t>Basic Tension Dev. Length, l</t>
    </r>
    <r>
      <rPr>
        <vertAlign val="subscript"/>
        <sz val="10"/>
        <color theme="1"/>
        <rFont val="Arial"/>
        <family val="2"/>
      </rPr>
      <t>db</t>
    </r>
    <r>
      <rPr>
        <sz val="10"/>
        <color theme="1"/>
        <rFont val="Arial"/>
        <family val="2"/>
      </rPr>
      <t xml:space="preserve"> (in)</t>
    </r>
  </si>
  <si>
    <t>Dev. Length and Lap Splice Length</t>
  </si>
  <si>
    <t>Applicable Modification Factors</t>
  </si>
  <si>
    <t>Tension Lap Splice Lengths (in)</t>
  </si>
  <si>
    <t>All Modification Factors Combined</t>
  </si>
  <si>
    <t>All Mod. Factors Combined</t>
  </si>
  <si>
    <t>Additional Notes:</t>
  </si>
  <si>
    <t>1.) #14 and #18 bars may not be lapped according to Art. 5.11.5.2.1.</t>
  </si>
  <si>
    <t xml:space="preserve">      conflict with 6" center-to-center spacing and 3" clear cover. For example, if #8</t>
  </si>
  <si>
    <r>
      <t>2.) There are a few instances where the epoxy spacings (6d</t>
    </r>
    <r>
      <rPr>
        <vertAlign val="subscript"/>
        <sz val="10"/>
        <color theme="1"/>
        <rFont val="Arial"/>
        <family val="2"/>
      </rPr>
      <t>b</t>
    </r>
    <r>
      <rPr>
        <sz val="10"/>
        <color theme="1"/>
        <rFont val="Arial"/>
        <family val="2"/>
      </rPr>
      <t xml:space="preserve"> clear and 3d</t>
    </r>
    <r>
      <rPr>
        <vertAlign val="subscript"/>
        <sz val="10"/>
        <color theme="1"/>
        <rFont val="Arial"/>
        <family val="2"/>
      </rPr>
      <t>b</t>
    </r>
    <r>
      <rPr>
        <sz val="10"/>
        <color theme="1"/>
        <rFont val="Arial"/>
        <family val="2"/>
      </rPr>
      <t xml:space="preserve"> cover) may</t>
    </r>
  </si>
  <si>
    <t xml:space="preserve">         Clear Spacing bt. Bars &lt; 6db? Enter Y or N.</t>
  </si>
  <si>
    <t xml:space="preserve">      epoxy-coated bars are spaced on 6" centers, then you should answer "Y" for the</t>
  </si>
  <si>
    <t xml:space="preserve">      to the user to ensure consistency is maintained.</t>
  </si>
  <si>
    <t xml:space="preserve">     minimum according to Art. 5.11.2.1.1.</t>
  </si>
  <si>
    <t>3.) Lap splice length may be be based on development lengths less than the 12"</t>
  </si>
  <si>
    <t>4.) According to ACI 318-11 Art. 12.15.1, the Excess Reinforcement Factor,</t>
  </si>
  <si>
    <r>
      <t xml:space="preserve">      [(As</t>
    </r>
    <r>
      <rPr>
        <vertAlign val="subscript"/>
        <sz val="10"/>
        <color theme="1"/>
        <rFont val="Arial"/>
        <family val="2"/>
      </rPr>
      <t>required</t>
    </r>
    <r>
      <rPr>
        <sz val="10"/>
        <color theme="1"/>
        <rFont val="Arial"/>
        <family val="2"/>
      </rPr>
      <t>) / (As</t>
    </r>
    <r>
      <rPr>
        <vertAlign val="subscript"/>
        <sz val="10"/>
        <color theme="1"/>
        <rFont val="Arial"/>
        <family val="2"/>
      </rPr>
      <t>provided</t>
    </r>
    <r>
      <rPr>
        <sz val="10"/>
        <color theme="1"/>
        <rFont val="Arial"/>
        <family val="2"/>
      </rPr>
      <t>)] should be set to 1.000 when determining lap length.The</t>
    </r>
  </si>
  <si>
    <t xml:space="preserve">      user is responsible for ensuring this factor is set to 1.000.</t>
  </si>
  <si>
    <t>Epoxy-Coated Bar? Enter Y or N.</t>
  </si>
  <si>
    <r>
      <t>#1.    E</t>
    </r>
    <r>
      <rPr>
        <vertAlign val="subscript"/>
        <sz val="10"/>
        <color theme="1"/>
        <rFont val="Arial"/>
        <family val="2"/>
      </rPr>
      <t>c</t>
    </r>
    <r>
      <rPr>
        <sz val="10"/>
        <color theme="1"/>
        <rFont val="Arial"/>
        <family val="2"/>
      </rPr>
      <t xml:space="preserve"> (ksi) = 120,000 K</t>
    </r>
    <r>
      <rPr>
        <vertAlign val="subscript"/>
        <sz val="10"/>
        <color theme="1"/>
        <rFont val="Arial"/>
        <family val="2"/>
      </rPr>
      <t>1</t>
    </r>
    <r>
      <rPr>
        <sz val="10"/>
        <color theme="1"/>
        <rFont val="Arial"/>
        <family val="2"/>
      </rPr>
      <t xml:space="preserve"> w</t>
    </r>
    <r>
      <rPr>
        <vertAlign val="subscript"/>
        <sz val="10"/>
        <color theme="1"/>
        <rFont val="Arial"/>
        <family val="2"/>
      </rPr>
      <t>c</t>
    </r>
    <r>
      <rPr>
        <vertAlign val="superscript"/>
        <sz val="10"/>
        <color theme="1"/>
        <rFont val="Arial"/>
        <family val="2"/>
      </rPr>
      <t>2.0</t>
    </r>
    <r>
      <rPr>
        <sz val="10"/>
        <color theme="1"/>
        <rFont val="Arial"/>
        <family val="2"/>
      </rPr>
      <t xml:space="preserve"> (f'</t>
    </r>
    <r>
      <rPr>
        <vertAlign val="subscript"/>
        <sz val="10"/>
        <color theme="1"/>
        <rFont val="Arial"/>
        <family val="2"/>
      </rPr>
      <t>c</t>
    </r>
    <r>
      <rPr>
        <sz val="10"/>
        <color theme="1"/>
        <rFont val="Arial"/>
        <family val="2"/>
      </rPr>
      <t>)</t>
    </r>
    <r>
      <rPr>
        <vertAlign val="superscript"/>
        <sz val="10"/>
        <color theme="1"/>
        <rFont val="Arial"/>
        <family val="2"/>
      </rPr>
      <t>0.33</t>
    </r>
  </si>
  <si>
    <r>
      <t>#2.    E</t>
    </r>
    <r>
      <rPr>
        <vertAlign val="subscript"/>
        <sz val="10"/>
        <color theme="1"/>
        <rFont val="Arial"/>
        <family val="2"/>
      </rPr>
      <t>c</t>
    </r>
    <r>
      <rPr>
        <sz val="10"/>
        <color theme="1"/>
        <rFont val="Arial"/>
        <family val="2"/>
      </rPr>
      <t xml:space="preserve"> (ksi) = 2,500 (f'</t>
    </r>
    <r>
      <rPr>
        <vertAlign val="subscript"/>
        <sz val="10"/>
        <color theme="1"/>
        <rFont val="Arial"/>
        <family val="2"/>
      </rPr>
      <t>c</t>
    </r>
    <r>
      <rPr>
        <sz val="10"/>
        <color theme="1"/>
        <rFont val="Arial"/>
        <family val="2"/>
      </rPr>
      <t>)</t>
    </r>
    <r>
      <rPr>
        <vertAlign val="superscript"/>
        <sz val="10"/>
        <color theme="1"/>
        <rFont val="Arial"/>
        <family val="2"/>
      </rPr>
      <t>0.33</t>
    </r>
  </si>
  <si>
    <r>
      <t>#3.    E</t>
    </r>
    <r>
      <rPr>
        <vertAlign val="subscript"/>
        <sz val="10"/>
        <color theme="1"/>
        <rFont val="Arial"/>
        <family val="2"/>
      </rPr>
      <t>c</t>
    </r>
    <r>
      <rPr>
        <sz val="10"/>
        <color theme="1"/>
        <rFont val="Arial"/>
        <family val="2"/>
      </rPr>
      <t xml:space="preserve"> (ksi) = 33,000 K</t>
    </r>
    <r>
      <rPr>
        <vertAlign val="subscript"/>
        <sz val="10"/>
        <color theme="1"/>
        <rFont val="Arial"/>
        <family val="2"/>
      </rPr>
      <t>1</t>
    </r>
    <r>
      <rPr>
        <sz val="10"/>
        <color theme="1"/>
        <rFont val="Arial"/>
        <family val="2"/>
      </rPr>
      <t xml:space="preserve"> w</t>
    </r>
    <r>
      <rPr>
        <vertAlign val="subscript"/>
        <sz val="10"/>
        <color theme="1"/>
        <rFont val="Arial"/>
        <family val="2"/>
      </rPr>
      <t>c</t>
    </r>
    <r>
      <rPr>
        <vertAlign val="superscript"/>
        <sz val="10"/>
        <color theme="1"/>
        <rFont val="Arial"/>
        <family val="2"/>
      </rPr>
      <t>1.5</t>
    </r>
    <r>
      <rPr>
        <sz val="10"/>
        <color theme="1"/>
        <rFont val="Arial"/>
        <family val="2"/>
      </rPr>
      <t xml:space="preserve"> (f'</t>
    </r>
    <r>
      <rPr>
        <vertAlign val="subscript"/>
        <sz val="10"/>
        <color theme="1"/>
        <rFont val="Arial"/>
        <family val="2"/>
      </rPr>
      <t>c</t>
    </r>
    <r>
      <rPr>
        <sz val="10"/>
        <color theme="1"/>
        <rFont val="Arial"/>
        <family val="2"/>
      </rPr>
      <t>)</t>
    </r>
    <r>
      <rPr>
        <vertAlign val="superscript"/>
        <sz val="10"/>
        <color theme="1"/>
        <rFont val="Arial"/>
        <family val="2"/>
      </rPr>
      <t>0.50</t>
    </r>
  </si>
  <si>
    <r>
      <t>#4.    E</t>
    </r>
    <r>
      <rPr>
        <vertAlign val="subscript"/>
        <sz val="10"/>
        <color theme="1"/>
        <rFont val="Arial"/>
        <family val="2"/>
      </rPr>
      <t>c</t>
    </r>
    <r>
      <rPr>
        <sz val="10"/>
        <color theme="1"/>
        <rFont val="Arial"/>
        <family val="2"/>
      </rPr>
      <t xml:space="preserve"> (ksi) = 1,820 (f'</t>
    </r>
    <r>
      <rPr>
        <vertAlign val="subscript"/>
        <sz val="10"/>
        <color theme="1"/>
        <rFont val="Arial"/>
        <family val="2"/>
      </rPr>
      <t>c</t>
    </r>
    <r>
      <rPr>
        <sz val="10"/>
        <color theme="1"/>
        <rFont val="Arial"/>
        <family val="2"/>
      </rPr>
      <t>)</t>
    </r>
    <r>
      <rPr>
        <vertAlign val="superscript"/>
        <sz val="10"/>
        <color theme="1"/>
        <rFont val="Arial"/>
        <family val="2"/>
      </rPr>
      <t>0.50</t>
    </r>
  </si>
  <si>
    <r>
      <t>Base E</t>
    </r>
    <r>
      <rPr>
        <vertAlign val="subscript"/>
        <sz val="10"/>
        <color theme="1"/>
        <rFont val="Arial"/>
        <family val="2"/>
      </rPr>
      <t>c</t>
    </r>
    <r>
      <rPr>
        <sz val="10"/>
        <color theme="1"/>
        <rFont val="Arial"/>
        <family val="2"/>
      </rPr>
      <t xml:space="preserve"> on #1 thru #4? Enter 1, 2, 3 or 4.</t>
    </r>
  </si>
  <si>
    <t>Is more than 12" of fresh concrete cast below bar? Enter Y or N.</t>
  </si>
  <si>
    <r>
      <t xml:space="preserve">Reinforcement Confinement Factor, </t>
    </r>
    <r>
      <rPr>
        <sz val="10"/>
        <color theme="1"/>
        <rFont val="Symbol"/>
        <family val="1"/>
        <charset val="2"/>
      </rPr>
      <t>l</t>
    </r>
    <r>
      <rPr>
        <vertAlign val="subscript"/>
        <sz val="10"/>
        <color theme="1"/>
        <rFont val="Arial"/>
        <family val="2"/>
      </rPr>
      <t>rc</t>
    </r>
  </si>
  <si>
    <t>Do you want to consider this reduction factor? Enter Y or N.</t>
  </si>
  <si>
    <t>Is there transverse (stirrup) reinforcement? Enter Y or N.</t>
  </si>
  <si>
    <r>
      <t xml:space="preserve">Coating Factor, </t>
    </r>
    <r>
      <rPr>
        <sz val="10"/>
        <color theme="1"/>
        <rFont val="Symbol"/>
        <family val="1"/>
        <charset val="2"/>
      </rPr>
      <t>l</t>
    </r>
    <r>
      <rPr>
        <vertAlign val="subscript"/>
        <sz val="10"/>
        <color theme="1"/>
        <rFont val="Arial"/>
        <family val="2"/>
      </rPr>
      <t>cf</t>
    </r>
  </si>
  <si>
    <t>Combined Reinf Locn and Coating Factor (Max of 1.7)</t>
  </si>
  <si>
    <r>
      <t xml:space="preserve">Reinf Locn Factor, </t>
    </r>
    <r>
      <rPr>
        <sz val="10"/>
        <color theme="1"/>
        <rFont val="Symbol"/>
        <family val="1"/>
        <charset val="2"/>
      </rPr>
      <t>l</t>
    </r>
    <r>
      <rPr>
        <vertAlign val="subscript"/>
        <sz val="10"/>
        <color theme="1"/>
        <rFont val="Arial"/>
        <family val="2"/>
      </rPr>
      <t>rl</t>
    </r>
  </si>
  <si>
    <r>
      <t xml:space="preserve">Reinf Confinement Factor, </t>
    </r>
    <r>
      <rPr>
        <sz val="10"/>
        <color theme="1"/>
        <rFont val="Symbol"/>
        <family val="1"/>
        <charset val="2"/>
      </rPr>
      <t>l</t>
    </r>
    <r>
      <rPr>
        <vertAlign val="subscript"/>
        <sz val="10"/>
        <color theme="1"/>
        <rFont val="Arial"/>
        <family val="2"/>
      </rPr>
      <t>rc</t>
    </r>
  </si>
  <si>
    <t>Except as specified herein, lap splices of deformed bars in tension shall be Class B lap splices.</t>
  </si>
  <si>
    <t>Class A lap splices may be used where:</t>
  </si>
  <si>
    <t xml:space="preserve">    (a) the area of reinforcement provided is at least twice that required by analysis over the entire</t>
  </si>
  <si>
    <t xml:space="preserve">         length of the lap splice; and</t>
  </si>
  <si>
    <t xml:space="preserve">    (b) one-half or less of the total reinforcement is spliced within the required lap splice length.</t>
  </si>
  <si>
    <t>DOT refers to the Iowa Department of Transportation.</t>
  </si>
  <si>
    <t>OBS refers to the Iowa DOT Office of Bridges and Structures</t>
  </si>
  <si>
    <t>BDM refers to the Iowa DOT Office of Bridges and Structures Bridge Design Manual</t>
  </si>
  <si>
    <t xml:space="preserve">Disclaimer: This software is intended for use by Iowa DOT personnel and Iowa counties as well as consultants working for said agencies. Any other use is at the sole discretion of the user. The Iowa DOT makes the software available "AS IS" and assumes no liability nor makes any warranty of any kind, including warranties of noninfringement, fitness or merchantability whether expressed or implied, to the accuracy or functionality of this software. By downloading or using this file, you are agreeing to this disclaimer. </t>
  </si>
  <si>
    <t>The OBS will only support those persons using this software in connection with Iowa county and Iowa DOT related business.</t>
  </si>
  <si>
    <t>Please report any spreadsheet errors to the Iowa DOT OBS.</t>
  </si>
  <si>
    <t>Tab Description:</t>
  </si>
  <si>
    <t>Data Entry and Calculation</t>
  </si>
  <si>
    <t>Cells that require user entry look similar to the following:</t>
  </si>
  <si>
    <t>Cells that perform calculations look similar to the following:</t>
  </si>
  <si>
    <t xml:space="preserve"> The user should not edit these cells.</t>
  </si>
  <si>
    <t>Users should not move, add or delete cells as it may affect the functionality of the worksheet.</t>
  </si>
  <si>
    <t>Date</t>
  </si>
  <si>
    <t>Modification</t>
  </si>
  <si>
    <t>LRFD Tension Rebar Development and Lap Splice Lengths</t>
  </si>
  <si>
    <t>Developed on 7/12/2016</t>
  </si>
  <si>
    <t>The AASHTO 2014 tab allows the user to calculate development and lap splice lengths based on the AASHTO LRFD Bridge Specifications, 7th Edition, 2014 and earlier.</t>
  </si>
  <si>
    <t>Release date of spreadsheet.</t>
  </si>
  <si>
    <t>Inputs for Modification Factors which Increase</t>
  </si>
  <si>
    <r>
      <t>Development Length, l</t>
    </r>
    <r>
      <rPr>
        <b/>
        <vertAlign val="subscript"/>
        <sz val="10"/>
        <color theme="1"/>
        <rFont val="Arial"/>
        <family val="2"/>
      </rPr>
      <t>d</t>
    </r>
  </si>
  <si>
    <t>Inputs for Modification Factors which Decrease</t>
  </si>
  <si>
    <r>
      <t>Tension Dev. Length, l</t>
    </r>
    <r>
      <rPr>
        <b/>
        <vertAlign val="subscript"/>
        <sz val="10"/>
        <color theme="1"/>
        <rFont val="Arial"/>
        <family val="2"/>
      </rPr>
      <t>d</t>
    </r>
    <r>
      <rPr>
        <b/>
        <sz val="10"/>
        <color theme="1"/>
        <rFont val="Arial"/>
        <family val="2"/>
      </rPr>
      <t xml:space="preserve"> (in)</t>
    </r>
  </si>
  <si>
    <r>
      <t>Class A = 1.0*l</t>
    </r>
    <r>
      <rPr>
        <b/>
        <vertAlign val="subscript"/>
        <sz val="10"/>
        <color theme="1"/>
        <rFont val="Arial"/>
        <family val="2"/>
      </rPr>
      <t>d</t>
    </r>
  </si>
  <si>
    <r>
      <t>Class B = 1.3*l</t>
    </r>
    <r>
      <rPr>
        <b/>
        <vertAlign val="subscript"/>
        <sz val="10"/>
        <color theme="1"/>
        <rFont val="Arial"/>
        <family val="2"/>
      </rPr>
      <t>d</t>
    </r>
  </si>
  <si>
    <r>
      <t>Class C = 1.7*l</t>
    </r>
    <r>
      <rPr>
        <b/>
        <vertAlign val="subscript"/>
        <sz val="10"/>
        <color theme="1"/>
        <rFont val="Arial"/>
        <family val="2"/>
      </rPr>
      <t>d</t>
    </r>
  </si>
  <si>
    <r>
      <t xml:space="preserve">Reinforcement Location (Top Bar) Factor, </t>
    </r>
    <r>
      <rPr>
        <sz val="10"/>
        <color theme="1"/>
        <rFont val="Symbol"/>
        <family val="1"/>
        <charset val="2"/>
      </rPr>
      <t>l</t>
    </r>
    <r>
      <rPr>
        <vertAlign val="subscript"/>
        <sz val="10"/>
        <color theme="1"/>
        <rFont val="Arial"/>
        <family val="2"/>
      </rPr>
      <t>rl</t>
    </r>
  </si>
  <si>
    <r>
      <t>Epoxy-Coated Bar</t>
    </r>
    <r>
      <rPr>
        <sz val="10"/>
        <color theme="1"/>
        <rFont val="Arial"/>
        <family val="2"/>
      </rPr>
      <t>? Enter Y or N.</t>
    </r>
  </si>
  <si>
    <r>
      <t xml:space="preserve">Excess Reinforcement Factor, </t>
    </r>
    <r>
      <rPr>
        <sz val="10"/>
        <color theme="1"/>
        <rFont val="Symbol"/>
        <family val="1"/>
        <charset val="2"/>
      </rPr>
      <t>l</t>
    </r>
    <r>
      <rPr>
        <vertAlign val="subscript"/>
        <sz val="10"/>
        <color theme="1"/>
        <rFont val="Arial"/>
        <family val="2"/>
      </rPr>
      <t>er</t>
    </r>
  </si>
  <si>
    <r>
      <t>Inputs for Modification Factors which Increase Development Length, l</t>
    </r>
    <r>
      <rPr>
        <b/>
        <vertAlign val="subscript"/>
        <sz val="10"/>
        <color theme="1"/>
        <rFont val="Arial"/>
        <family val="2"/>
      </rPr>
      <t>d</t>
    </r>
  </si>
  <si>
    <r>
      <t>Inputs for Modification Factors which Decrease Development Length, l</t>
    </r>
    <r>
      <rPr>
        <b/>
        <vertAlign val="subscript"/>
        <sz val="10"/>
        <color theme="1"/>
        <rFont val="Arial"/>
        <family val="2"/>
      </rPr>
      <t>d</t>
    </r>
  </si>
  <si>
    <r>
      <t>Transv. reinf. area within s crossing plane of splitting, A</t>
    </r>
    <r>
      <rPr>
        <vertAlign val="subscript"/>
        <sz val="10"/>
        <color theme="1"/>
        <rFont val="Arial"/>
        <family val="2"/>
      </rPr>
      <t>tr</t>
    </r>
    <r>
      <rPr>
        <sz val="10"/>
        <color theme="1"/>
        <rFont val="Arial"/>
        <family val="2"/>
      </rPr>
      <t xml:space="preserve"> (in</t>
    </r>
    <r>
      <rPr>
        <vertAlign val="superscript"/>
        <sz val="10"/>
        <color theme="1"/>
        <rFont val="Arial"/>
        <family val="2"/>
      </rPr>
      <t>2</t>
    </r>
    <r>
      <rPr>
        <sz val="10"/>
        <color theme="1"/>
        <rFont val="Arial"/>
        <family val="2"/>
      </rPr>
      <t>) =</t>
    </r>
  </si>
  <si>
    <t>Max. ctr-to-ctr spacing of transv. reinforcement, s (in) =</t>
  </si>
  <si>
    <t>Number of bars developed along plane of splitting, n =</t>
  </si>
  <si>
    <r>
      <t>Transverse reinforcement index, k</t>
    </r>
    <r>
      <rPr>
        <vertAlign val="subscript"/>
        <sz val="10"/>
        <color theme="1"/>
        <rFont val="Arial"/>
        <family val="2"/>
      </rPr>
      <t>tr</t>
    </r>
    <r>
      <rPr>
        <sz val="10"/>
        <color theme="1"/>
        <rFont val="Arial"/>
        <family val="2"/>
      </rPr>
      <t xml:space="preserve"> =</t>
    </r>
  </si>
  <si>
    <r>
      <t xml:space="preserve">Excess Reinf Factor, </t>
    </r>
    <r>
      <rPr>
        <sz val="10"/>
        <color theme="1"/>
        <rFont val="Symbol"/>
        <family val="1"/>
        <charset val="2"/>
      </rPr>
      <t>l</t>
    </r>
    <r>
      <rPr>
        <vertAlign val="subscript"/>
        <sz val="10"/>
        <color theme="1"/>
        <rFont val="Arial"/>
        <family val="2"/>
      </rPr>
      <t>er</t>
    </r>
  </si>
  <si>
    <t xml:space="preserve">      confinement factor are consistent.</t>
  </si>
  <si>
    <r>
      <t xml:space="preserve">Concrete Density Modification Factor, </t>
    </r>
    <r>
      <rPr>
        <sz val="10"/>
        <color theme="1"/>
        <rFont val="Symbol"/>
        <family val="1"/>
        <charset val="2"/>
      </rPr>
      <t>l</t>
    </r>
  </si>
  <si>
    <t xml:space="preserve">     factor replaced the Lightweight Concrete Factor present in the 2015 Interims. For</t>
  </si>
  <si>
    <t xml:space="preserve">     normal weight concrete this factor should be set to 1.000.</t>
  </si>
  <si>
    <r>
      <t xml:space="preserve">Concr Density Mod Factor, </t>
    </r>
    <r>
      <rPr>
        <sz val="10"/>
        <color theme="1"/>
        <rFont val="Symbol"/>
        <family val="1"/>
        <charset val="2"/>
      </rPr>
      <t>l</t>
    </r>
  </si>
  <si>
    <t>Lightweight Concr Factor</t>
  </si>
  <si>
    <t>Excess Reinf Factor</t>
  </si>
  <si>
    <t>6.) Development lengths and lap lengths have been rounded up to the nearest whole inch.</t>
  </si>
  <si>
    <r>
      <t>Tension Dev. Length, l</t>
    </r>
    <r>
      <rPr>
        <vertAlign val="subscript"/>
        <sz val="10"/>
        <color theme="1"/>
        <rFont val="Arial"/>
        <family val="2"/>
      </rPr>
      <t>d</t>
    </r>
    <r>
      <rPr>
        <sz val="10"/>
        <color theme="1"/>
        <rFont val="Arial"/>
        <family val="2"/>
      </rPr>
      <t xml:space="preserve"> (in)</t>
    </r>
  </si>
  <si>
    <t>Last Modified on 7/5/2018</t>
  </si>
  <si>
    <t>Minor updates</t>
  </si>
  <si>
    <r>
      <t>28 Day Concrete Strength, f'</t>
    </r>
    <r>
      <rPr>
        <vertAlign val="subscript"/>
        <sz val="10"/>
        <color theme="1"/>
        <rFont val="Arial"/>
        <family val="2"/>
      </rPr>
      <t>c</t>
    </r>
    <r>
      <rPr>
        <sz val="10"/>
        <color theme="1"/>
        <rFont val="Arial"/>
        <family val="2"/>
      </rPr>
      <t xml:space="preserve"> (ksi)</t>
    </r>
  </si>
  <si>
    <r>
      <t>Concrete Unit Weight, w</t>
    </r>
    <r>
      <rPr>
        <vertAlign val="subscript"/>
        <sz val="10"/>
        <color theme="1"/>
        <rFont val="Arial"/>
        <family val="2"/>
      </rPr>
      <t>c</t>
    </r>
    <r>
      <rPr>
        <sz val="10"/>
        <color theme="1"/>
        <rFont val="Arial"/>
        <family val="2"/>
      </rPr>
      <t xml:space="preserve"> (kcf)</t>
    </r>
  </si>
  <si>
    <r>
      <t>Aggregate Stiffness Correction Factor (K</t>
    </r>
    <r>
      <rPr>
        <vertAlign val="subscript"/>
        <sz val="10"/>
        <color theme="1"/>
        <rFont val="Arial"/>
        <family val="2"/>
      </rPr>
      <t>1</t>
    </r>
    <r>
      <rPr>
        <sz val="10"/>
        <color theme="1"/>
        <rFont val="Arial"/>
        <family val="2"/>
      </rPr>
      <t>)</t>
    </r>
  </si>
  <si>
    <r>
      <t>E</t>
    </r>
    <r>
      <rPr>
        <vertAlign val="subscript"/>
        <sz val="10"/>
        <color theme="1"/>
        <rFont val="Arial"/>
        <family val="2"/>
      </rPr>
      <t>c</t>
    </r>
    <r>
      <rPr>
        <sz val="10"/>
        <color theme="1"/>
        <rFont val="Arial"/>
        <family val="2"/>
      </rPr>
      <t xml:space="preserve"> (ksi)</t>
    </r>
  </si>
  <si>
    <r>
      <t>Reinforcement Yield Strength, f</t>
    </r>
    <r>
      <rPr>
        <vertAlign val="subscript"/>
        <sz val="10"/>
        <color theme="1"/>
        <rFont val="Arial"/>
        <family val="2"/>
      </rPr>
      <t>y</t>
    </r>
    <r>
      <rPr>
        <sz val="10"/>
        <color theme="1"/>
        <rFont val="Arial"/>
        <family val="2"/>
      </rPr>
      <t xml:space="preserve"> (ksi)</t>
    </r>
  </si>
  <si>
    <t>Lightweight Concrete Factor</t>
  </si>
  <si>
    <r>
      <t xml:space="preserve">      "Clear Spacing bt. Bars &lt; 6d</t>
    </r>
    <r>
      <rPr>
        <vertAlign val="subscript"/>
        <sz val="10"/>
        <color theme="1"/>
        <rFont val="Arial"/>
        <family val="2"/>
      </rPr>
      <t>b</t>
    </r>
    <r>
      <rPr>
        <sz val="10"/>
        <color theme="1"/>
        <rFont val="Arial"/>
        <family val="2"/>
      </rPr>
      <t>…" since this must be true, "Y", by default. It is left up</t>
    </r>
  </si>
  <si>
    <r>
      <t>5.) Users need to address additional requirements when f'</t>
    </r>
    <r>
      <rPr>
        <vertAlign val="subscript"/>
        <sz val="10"/>
        <color theme="1"/>
        <rFont val="Arial"/>
        <family val="2"/>
      </rPr>
      <t>c</t>
    </r>
    <r>
      <rPr>
        <sz val="10"/>
        <color theme="1"/>
        <rFont val="Arial"/>
        <family val="2"/>
      </rPr>
      <t xml:space="preserve"> &gt; 10 ksi and f</t>
    </r>
    <r>
      <rPr>
        <vertAlign val="subscript"/>
        <sz val="10"/>
        <color theme="1"/>
        <rFont val="Arial"/>
        <family val="2"/>
      </rPr>
      <t>y</t>
    </r>
    <r>
      <rPr>
        <sz val="10"/>
        <color theme="1"/>
        <rFont val="Arial"/>
        <family val="2"/>
      </rPr>
      <t xml:space="preserve"> &gt; 60 ksi.</t>
    </r>
  </si>
  <si>
    <t>The 2017 Figures tab contains AASHTO LRFD C5.10.8.2.1c-1.</t>
  </si>
  <si>
    <t>AASHTO LRFD 8th Edition, 2017, and Later</t>
  </si>
  <si>
    <t>AASHTO LRFD 5.10.8</t>
  </si>
  <si>
    <t>3.) The user needs to ensure spacings related to the coating factor and reinforcement</t>
  </si>
  <si>
    <t>5.) The Concrete Density Modification Factor was introduced in the 2016 Interims. This</t>
  </si>
  <si>
    <t>8.) Development lengths and lap lengths have been rounded up to the nearest whole inch.</t>
  </si>
  <si>
    <t xml:space="preserve">      in the 7th edition, 2015 interims.</t>
  </si>
  <si>
    <t>1.) The development and lap splice methodology presented here was first introduced</t>
  </si>
  <si>
    <r>
      <t>6.) Users need to address additional requirements when f'</t>
    </r>
    <r>
      <rPr>
        <vertAlign val="subscript"/>
        <sz val="10"/>
        <color theme="1"/>
        <rFont val="Arial"/>
        <family val="2"/>
      </rPr>
      <t>c</t>
    </r>
    <r>
      <rPr>
        <sz val="10"/>
        <color theme="1"/>
        <rFont val="Arial"/>
        <family val="2"/>
      </rPr>
      <t xml:space="preserve"> &gt; 10 ksi and f</t>
    </r>
    <r>
      <rPr>
        <vertAlign val="subscript"/>
        <sz val="10"/>
        <color theme="1"/>
        <rFont val="Arial"/>
        <family val="2"/>
      </rPr>
      <t>y</t>
    </r>
    <r>
      <rPr>
        <sz val="10"/>
        <color theme="1"/>
        <rFont val="Arial"/>
        <family val="2"/>
      </rPr>
      <t xml:space="preserve"> &gt; 60 ksi.</t>
    </r>
  </si>
  <si>
    <t>7.) See "2017 Figures" tab for figures related to Reinforcement Confinement Factor.</t>
  </si>
  <si>
    <r>
      <t>Excess Reinforcement: (As</t>
    </r>
    <r>
      <rPr>
        <vertAlign val="subscript"/>
        <sz val="10"/>
        <color theme="1"/>
        <rFont val="Arial"/>
        <family val="2"/>
      </rPr>
      <t>required</t>
    </r>
    <r>
      <rPr>
        <sz val="10"/>
        <color theme="1"/>
        <rFont val="Arial"/>
        <family val="2"/>
      </rPr>
      <t>) / (As</t>
    </r>
    <r>
      <rPr>
        <vertAlign val="subscript"/>
        <sz val="10"/>
        <color theme="1"/>
        <rFont val="Arial"/>
        <family val="2"/>
      </rPr>
      <t>provided</t>
    </r>
    <r>
      <rPr>
        <sz val="10"/>
        <color theme="1"/>
        <rFont val="Arial"/>
        <family val="2"/>
      </rPr>
      <t>)</t>
    </r>
  </si>
  <si>
    <r>
      <t>Dist. from bar center to nearest concrete surface, c</t>
    </r>
    <r>
      <rPr>
        <vertAlign val="subscript"/>
        <sz val="10"/>
        <color theme="1"/>
        <rFont val="Arial"/>
        <family val="2"/>
      </rPr>
      <t>b1</t>
    </r>
    <r>
      <rPr>
        <sz val="10"/>
        <color theme="1"/>
        <rFont val="Arial"/>
        <family val="2"/>
      </rPr>
      <t xml:space="preserve"> (in)</t>
    </r>
  </si>
  <si>
    <r>
      <t>One-half the center-to-center bar spacing, c</t>
    </r>
    <r>
      <rPr>
        <vertAlign val="subscript"/>
        <sz val="10"/>
        <color theme="1"/>
        <rFont val="Arial"/>
        <family val="2"/>
      </rPr>
      <t>b2</t>
    </r>
    <r>
      <rPr>
        <sz val="10"/>
        <color theme="1"/>
        <rFont val="Arial"/>
        <family val="2"/>
      </rPr>
      <t xml:space="preserve"> (in)</t>
    </r>
  </si>
  <si>
    <r>
      <t xml:space="preserve">Excess Reinforcement: </t>
    </r>
    <r>
      <rPr>
        <sz val="10"/>
        <color theme="1"/>
        <rFont val="Symbol"/>
        <family val="1"/>
        <charset val="2"/>
      </rPr>
      <t>l</t>
    </r>
    <r>
      <rPr>
        <vertAlign val="subscript"/>
        <sz val="10"/>
        <color theme="1"/>
        <rFont val="Arial"/>
        <family val="2"/>
      </rPr>
      <t>er</t>
    </r>
    <r>
      <rPr>
        <sz val="10"/>
        <color theme="1"/>
        <rFont val="Arial"/>
        <family val="2"/>
      </rPr>
      <t xml:space="preserve"> = (As</t>
    </r>
    <r>
      <rPr>
        <vertAlign val="subscript"/>
        <sz val="10"/>
        <color theme="1"/>
        <rFont val="Arial"/>
        <family val="2"/>
      </rPr>
      <t>required</t>
    </r>
    <r>
      <rPr>
        <sz val="10"/>
        <color theme="1"/>
        <rFont val="Arial"/>
        <family val="2"/>
      </rPr>
      <t>) / (As</t>
    </r>
    <r>
      <rPr>
        <vertAlign val="subscript"/>
        <sz val="10"/>
        <color theme="1"/>
        <rFont val="Arial"/>
        <family val="2"/>
      </rPr>
      <t>provided</t>
    </r>
    <r>
      <rPr>
        <sz val="10"/>
        <color theme="1"/>
        <rFont val="Arial"/>
        <family val="2"/>
      </rPr>
      <t>)</t>
    </r>
  </si>
  <si>
    <t>2.) #14 and #18 bars may not be lapped according to Art. 5.10.8.4.2a.</t>
  </si>
  <si>
    <t>Article 5.10.8.4</t>
  </si>
  <si>
    <t xml:space="preserve"> Typ. "Y"</t>
  </si>
  <si>
    <t>* Typ. "N"</t>
  </si>
  <si>
    <r>
      <t>* It is conservative to enter "N" and thereby ignore the additional parameter (k</t>
    </r>
    <r>
      <rPr>
        <vertAlign val="subscript"/>
        <sz val="10"/>
        <color theme="1"/>
        <rFont val="Arial"/>
        <family val="2"/>
      </rPr>
      <t>tr</t>
    </r>
    <r>
      <rPr>
        <sz val="10"/>
        <color theme="1"/>
        <rFont val="Arial"/>
        <family val="2"/>
      </rPr>
      <t xml:space="preserve"> = A</t>
    </r>
    <r>
      <rPr>
        <vertAlign val="subscript"/>
        <sz val="10"/>
        <color theme="1"/>
        <rFont val="Arial"/>
        <family val="2"/>
      </rPr>
      <t>tr</t>
    </r>
    <r>
      <rPr>
        <sz val="10"/>
        <color theme="1"/>
        <rFont val="Arial"/>
        <family val="2"/>
      </rPr>
      <t xml:space="preserve"> = 0).</t>
    </r>
  </si>
  <si>
    <t>The AASHTO 2017 tab allows the user to calculate development and lap splice lengths based on the AASHTO LRFD Bridge Specifications, 8th Edition, 2017 and later. Note that the 8th Edition methodology was first introduced in the 7th Edition with 2015 Interims.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</si>
</sst>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8"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0"/>
      <color theme="1"/>
      <name val="Arial"/>
      <family val="2"/>
    </font>
    <font>
      <vertAlign val="subscript"/>
      <sz val="10"/>
      <color theme="1"/>
      <name val="Arial"/>
      <family val="2"/>
    </font>
    <font>
      <u/>
      <sz val="10"/>
      <color theme="1"/>
      <name val="Arial"/>
      <family val="2"/>
    </font>
    <font>
      <sz val="10"/>
      <color rgb="FF3F3F76"/>
      <name val="Arial"/>
      <family val="2"/>
    </font>
    <font>
      <vertAlign val="superscript"/>
      <sz val="10"/>
      <color theme="1"/>
      <name val="Arial"/>
      <family val="2"/>
    </font>
    <font>
      <sz val="10"/>
      <color rgb="FFFA7D00"/>
      <name val="Arial"/>
      <family val="2"/>
    </font>
    <font>
      <u/>
      <sz val="14"/>
      <color theme="1"/>
      <name val="Arial"/>
      <family val="2"/>
    </font>
    <font>
      <b/>
      <sz val="10"/>
      <color theme="1"/>
      <name val="Arial"/>
      <family val="2"/>
    </font>
    <font>
      <sz val="14"/>
      <color theme="1"/>
      <name val="Arial"/>
      <family val="2"/>
    </font>
    <font>
      <sz val="10"/>
      <color rgb="FFFF0000"/>
      <name val="Arial"/>
      <family val="2"/>
    </font>
    <font>
      <sz val="9"/>
      <color indexed="81"/>
      <name val="Tahoma"/>
      <family val="2"/>
    </font>
    <font>
      <b/>
      <sz val="10"/>
      <color rgb="FF0000FF"/>
      <name val="Arial"/>
      <family val="2"/>
    </font>
    <font>
      <b/>
      <vertAlign val="subscript"/>
      <sz val="10"/>
      <color theme="1"/>
      <name val="Arial"/>
      <family val="2"/>
    </font>
    <font>
      <b/>
      <sz val="10"/>
      <color rgb="FFFF0000"/>
      <name val="Arial"/>
      <family val="2"/>
    </font>
    <font>
      <sz val="10"/>
      <color theme="1"/>
      <name val="Symbol"/>
      <family val="1"/>
      <charset val="2"/>
    </font>
    <font>
      <sz val="10"/>
      <name val="Arial"/>
      <family val="2"/>
    </font>
    <font>
      <b/>
      <sz val="10"/>
      <color rgb="FF7030A0"/>
      <name val="Arial"/>
      <family val="2"/>
    </font>
    <font>
      <b/>
      <sz val="10"/>
      <color rgb="FFC00000"/>
      <name val="Arial"/>
      <family val="2"/>
    </font>
    <font>
      <sz val="10"/>
      <color rgb="FFC00000"/>
      <name val="Arial"/>
      <family val="2"/>
    </font>
    <font>
      <b/>
      <u/>
      <sz val="12"/>
      <color rgb="FF7030A0"/>
      <name val="Arial"/>
      <family val="2"/>
    </font>
    <font>
      <b/>
      <u/>
      <sz val="10"/>
      <color rgb="FF7030A0"/>
      <name val="Arial"/>
      <family val="2"/>
    </font>
    <font>
      <b/>
      <sz val="11"/>
      <color rgb="FF0000FF"/>
      <name val="Calibri"/>
      <family val="2"/>
      <scheme val="minor"/>
    </font>
    <font>
      <b/>
      <sz val="11"/>
      <color rgb="FFFF0000"/>
      <name val="Calibri"/>
      <family val="2"/>
      <scheme val="minor"/>
    </font>
    <font>
      <b/>
      <sz val="16"/>
      <name val="Arial"/>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s>
  <borders count="66">
    <border>
      <left/>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bottom style="thin">
        <color rgb="FF7F7F7F"/>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medium">
        <color indexed="64"/>
      </right>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auto="1"/>
      </left>
      <right style="medium">
        <color auto="1"/>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style="thin">
        <color rgb="FF7F7F7F"/>
      </left>
      <right/>
      <top style="thin">
        <color rgb="FF7F7F7F"/>
      </top>
      <bottom style="medium">
        <color indexed="64"/>
      </bottom>
      <diagonal/>
    </border>
    <border>
      <left/>
      <right style="thin">
        <color rgb="FF7F7F7F"/>
      </right>
      <top/>
      <bottom style="thin">
        <color rgb="FF7F7F7F"/>
      </bottom>
      <diagonal/>
    </border>
    <border>
      <left style="medium">
        <color auto="1"/>
      </left>
      <right style="medium">
        <color auto="1"/>
      </right>
      <top style="medium">
        <color auto="1"/>
      </top>
      <bottom style="thin">
        <color rgb="FF7F7F7F"/>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thin">
        <color rgb="FF7F7F7F"/>
      </top>
      <bottom style="medium">
        <color auto="1"/>
      </bottom>
      <diagonal/>
    </border>
    <border>
      <left/>
      <right style="thin">
        <color rgb="FF7F7F7F"/>
      </right>
      <top style="medium">
        <color indexed="64"/>
      </top>
      <bottom style="thin">
        <color rgb="FF7F7F7F"/>
      </bottom>
      <diagonal/>
    </border>
    <border>
      <left style="medium">
        <color indexed="64"/>
      </left>
      <right/>
      <top style="thin">
        <color indexed="64"/>
      </top>
      <bottom style="medium">
        <color indexed="64"/>
      </bottom>
      <diagonal/>
    </border>
    <border>
      <left/>
      <right style="medium">
        <color auto="1"/>
      </right>
      <top style="thin">
        <color indexed="64"/>
      </top>
      <bottom style="medium">
        <color indexed="64"/>
      </bottom>
      <diagonal/>
    </border>
    <border>
      <left style="thin">
        <color rgb="FF7F7F7F"/>
      </left>
      <right/>
      <top style="medium">
        <color indexed="64"/>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indexed="64"/>
      </bottom>
      <diagonal/>
    </border>
    <border>
      <left style="medium">
        <color auto="1"/>
      </left>
      <right style="thin">
        <color rgb="FF7F7F7F"/>
      </right>
      <top style="medium">
        <color indexed="64"/>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medium">
        <color auto="1"/>
      </top>
      <bottom/>
      <diagonal/>
    </border>
    <border>
      <left style="thin">
        <color rgb="FF7F7F7F"/>
      </left>
      <right style="medium">
        <color auto="1"/>
      </right>
      <top/>
      <bottom style="medium">
        <color auto="1"/>
      </bottom>
      <diagonal/>
    </border>
  </borders>
  <cellStyleXfs count="6">
    <xf numFmtId="0" fontId="0" fillId="0" borderId="0"/>
    <xf numFmtId="0" fontId="2" fillId="2" borderId="2" applyNumberFormat="0" applyAlignment="0" applyProtection="0"/>
    <xf numFmtId="0" fontId="3" fillId="3" borderId="2" applyNumberFormat="0" applyAlignment="0" applyProtection="0"/>
    <xf numFmtId="0" fontId="1" fillId="4" borderId="3" applyNumberFormat="0" applyFont="0" applyAlignment="0" applyProtection="0"/>
    <xf numFmtId="0" fontId="11" fillId="5" borderId="4">
      <alignment horizontal="left"/>
    </xf>
    <xf numFmtId="0" fontId="4" fillId="6" borderId="5" applyBorder="0">
      <alignment horizontal="center"/>
    </xf>
  </cellStyleXfs>
  <cellXfs count="195">
    <xf numFmtId="0" fontId="0" fillId="0" borderId="0" xfId="0"/>
    <xf numFmtId="0" fontId="4" fillId="0" borderId="0" xfId="0" applyFont="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11" fillId="5" borderId="4" xfId="4" applyAlignment="1">
      <alignment horizontal="left" vertical="center"/>
    </xf>
    <xf numFmtId="0" fontId="11" fillId="5" borderId="5" xfId="4" applyBorder="1" applyAlignment="1">
      <alignment horizontal="left" vertical="center"/>
    </xf>
    <xf numFmtId="0" fontId="4" fillId="0" borderId="0" xfId="0" applyFont="1" applyFill="1" applyBorder="1" applyAlignment="1">
      <alignment vertical="center" wrapText="1"/>
    </xf>
    <xf numFmtId="0" fontId="4" fillId="0" borderId="23"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18" xfId="0" applyNumberFormat="1" applyFont="1" applyBorder="1" applyAlignment="1">
      <alignment horizontal="center" vertical="center"/>
    </xf>
    <xf numFmtId="0" fontId="4" fillId="0" borderId="14" xfId="0" applyFont="1" applyBorder="1" applyAlignment="1">
      <alignment horizontal="center" vertical="center"/>
    </xf>
    <xf numFmtId="165" fontId="4" fillId="0" borderId="19"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10" fillId="0" borderId="0" xfId="0" applyFont="1" applyBorder="1" applyAlignment="1">
      <alignment vertical="center"/>
    </xf>
    <xf numFmtId="0" fontId="4" fillId="6" borderId="4" xfId="5" applyBorder="1" applyAlignment="1">
      <alignment horizontal="left" vertical="center"/>
    </xf>
    <xf numFmtId="2" fontId="4" fillId="0" borderId="1" xfId="0" applyNumberFormat="1" applyFont="1" applyBorder="1" applyAlignment="1">
      <alignment horizontal="center" vertical="center"/>
    </xf>
    <xf numFmtId="0" fontId="11" fillId="5" borderId="4" xfId="4" applyBorder="1" applyAlignment="1">
      <alignment horizontal="left" vertical="center"/>
    </xf>
    <xf numFmtId="0" fontId="4" fillId="6" borderId="10" xfId="5" applyBorder="1" applyAlignment="1">
      <alignment horizontal="left" vertical="center"/>
    </xf>
    <xf numFmtId="2" fontId="4" fillId="0" borderId="19" xfId="0" applyNumberFormat="1" applyFont="1" applyBorder="1" applyAlignment="1">
      <alignment horizontal="center" vertical="center"/>
    </xf>
    <xf numFmtId="0" fontId="12" fillId="0" borderId="0" xfId="0" applyFont="1" applyAlignment="1">
      <alignment vertical="center"/>
    </xf>
    <xf numFmtId="4" fontId="13" fillId="8" borderId="10" xfId="2" applyNumberFormat="1" applyFont="1" applyFill="1" applyBorder="1" applyAlignment="1">
      <alignment horizontal="center" vertical="center"/>
    </xf>
    <xf numFmtId="0" fontId="4" fillId="0" borderId="0" xfId="0" quotePrefix="1" applyFont="1" applyAlignment="1">
      <alignment vertical="center"/>
    </xf>
    <xf numFmtId="0" fontId="4" fillId="6" borderId="10" xfId="5" quotePrefix="1" applyBorder="1" applyAlignment="1">
      <alignment horizontal="left" vertical="center"/>
    </xf>
    <xf numFmtId="0" fontId="4" fillId="6" borderId="39" xfId="5" quotePrefix="1" applyBorder="1" applyAlignment="1">
      <alignment horizontal="left" vertical="center"/>
    </xf>
    <xf numFmtId="4" fontId="13" fillId="8" borderId="39" xfId="2" applyNumberFormat="1" applyFont="1" applyFill="1" applyBorder="1" applyAlignment="1">
      <alignment horizontal="center" vertical="center"/>
    </xf>
    <xf numFmtId="0" fontId="4" fillId="6" borderId="39" xfId="0" applyFont="1" applyFill="1" applyBorder="1" applyAlignment="1">
      <alignment vertical="center"/>
    </xf>
    <xf numFmtId="0" fontId="4" fillId="6" borderId="39" xfId="5" applyBorder="1" applyAlignment="1">
      <alignment horizontal="left" vertical="center"/>
    </xf>
    <xf numFmtId="165" fontId="15" fillId="7" borderId="4" xfId="1" applyNumberFormat="1" applyFont="1" applyFill="1" applyBorder="1" applyAlignment="1">
      <alignment horizontal="center" vertical="center"/>
    </xf>
    <xf numFmtId="165" fontId="15" fillId="7" borderId="39" xfId="1" applyNumberFormat="1" applyFont="1" applyFill="1" applyBorder="1" applyAlignment="1">
      <alignment horizontal="center" vertical="center"/>
    </xf>
    <xf numFmtId="165" fontId="15" fillId="7" borderId="10" xfId="1" applyNumberFormat="1" applyFont="1" applyFill="1" applyBorder="1" applyAlignment="1">
      <alignment horizontal="center" vertical="center"/>
    </xf>
    <xf numFmtId="0" fontId="15" fillId="7" borderId="39" xfId="1" applyNumberFormat="1" applyFont="1" applyFill="1" applyBorder="1" applyAlignment="1">
      <alignment horizontal="center" vertical="center"/>
    </xf>
    <xf numFmtId="0" fontId="4" fillId="6" borderId="41" xfId="5" applyFill="1" applyBorder="1" applyAlignment="1">
      <alignment horizontal="left" vertical="center"/>
    </xf>
    <xf numFmtId="0" fontId="4" fillId="6" borderId="29" xfId="0" applyFont="1" applyFill="1" applyBorder="1" applyAlignment="1">
      <alignment vertical="center"/>
    </xf>
    <xf numFmtId="0" fontId="15" fillId="7" borderId="39" xfId="1" applyFont="1" applyFill="1" applyBorder="1" applyAlignment="1">
      <alignment horizontal="center" vertical="center"/>
    </xf>
    <xf numFmtId="0" fontId="4" fillId="6" borderId="43" xfId="0" applyFont="1" applyFill="1" applyBorder="1" applyAlignment="1">
      <alignment vertical="center"/>
    </xf>
    <xf numFmtId="0" fontId="15" fillId="7" borderId="44" xfId="1" applyFont="1" applyFill="1" applyBorder="1" applyAlignment="1">
      <alignment horizontal="center" vertical="center"/>
    </xf>
    <xf numFmtId="0" fontId="11" fillId="5" borderId="13" xfId="4" applyFill="1" applyBorder="1" applyAlignment="1">
      <alignment horizontal="left" vertical="center"/>
    </xf>
    <xf numFmtId="0" fontId="9" fillId="5" borderId="7" xfId="2" applyFont="1" applyFill="1" applyBorder="1" applyAlignment="1">
      <alignment horizontal="center" vertical="center"/>
    </xf>
    <xf numFmtId="0" fontId="11" fillId="5" borderId="14" xfId="4" applyFill="1" applyBorder="1" applyAlignment="1">
      <alignment horizontal="left" vertical="center"/>
    </xf>
    <xf numFmtId="0" fontId="9" fillId="5" borderId="9" xfId="2" applyFont="1" applyFill="1" applyBorder="1" applyAlignment="1">
      <alignment horizontal="center" vertical="center"/>
    </xf>
    <xf numFmtId="0" fontId="4" fillId="0" borderId="0" xfId="0" applyFont="1" applyFill="1" applyBorder="1" applyAlignment="1">
      <alignment vertical="center"/>
    </xf>
    <xf numFmtId="0" fontId="4" fillId="6" borderId="28" xfId="0" applyFont="1" applyFill="1" applyBorder="1" applyAlignment="1">
      <alignment vertical="center"/>
    </xf>
    <xf numFmtId="0" fontId="4" fillId="6" borderId="45" xfId="0" applyFont="1" applyFill="1" applyBorder="1" applyAlignment="1">
      <alignment vertical="center"/>
    </xf>
    <xf numFmtId="0" fontId="9" fillId="5" borderId="36" xfId="2" applyFont="1" applyFill="1" applyBorder="1" applyAlignment="1">
      <alignment horizontal="center" vertical="center"/>
    </xf>
    <xf numFmtId="0" fontId="9" fillId="5" borderId="37" xfId="2" applyFont="1" applyFill="1" applyBorder="1" applyAlignment="1">
      <alignment horizontal="center" vertical="center"/>
    </xf>
    <xf numFmtId="0" fontId="4" fillId="6" borderId="11" xfId="5" applyFill="1" applyBorder="1" applyAlignment="1">
      <alignment horizontal="left" vertical="center"/>
    </xf>
    <xf numFmtId="0" fontId="4" fillId="6" borderId="40" xfId="0" applyFont="1" applyFill="1" applyBorder="1" applyAlignment="1">
      <alignment vertical="center"/>
    </xf>
    <xf numFmtId="0" fontId="4" fillId="6" borderId="12" xfId="0" applyFont="1" applyFill="1" applyBorder="1" applyAlignment="1">
      <alignment vertical="center"/>
    </xf>
    <xf numFmtId="0" fontId="4" fillId="6" borderId="42" xfId="5" quotePrefix="1" applyFill="1" applyBorder="1" applyAlignment="1">
      <alignment horizontal="left" vertical="center"/>
    </xf>
    <xf numFmtId="0" fontId="15" fillId="7" borderId="10" xfId="1" applyFont="1" applyFill="1" applyBorder="1" applyAlignment="1">
      <alignment horizontal="center" vertical="center"/>
    </xf>
    <xf numFmtId="0" fontId="4" fillId="6" borderId="11" xfId="5" applyFill="1" applyBorder="1" applyAlignment="1">
      <alignment vertical="center"/>
    </xf>
    <xf numFmtId="0" fontId="4" fillId="6" borderId="37" xfId="0" applyFont="1" applyFill="1" applyBorder="1" applyAlignment="1">
      <alignment vertical="center"/>
    </xf>
    <xf numFmtId="0" fontId="4" fillId="6" borderId="9" xfId="0" applyFont="1" applyFill="1" applyBorder="1" applyAlignment="1">
      <alignment vertical="center"/>
    </xf>
    <xf numFmtId="165" fontId="13" fillId="0" borderId="1" xfId="0" applyNumberFormat="1" applyFont="1" applyBorder="1" applyAlignment="1">
      <alignment horizontal="center" vertical="center"/>
    </xf>
    <xf numFmtId="165" fontId="13" fillId="0" borderId="15" xfId="0" applyNumberFormat="1" applyFont="1" applyBorder="1" applyAlignment="1">
      <alignment horizontal="center" vertical="center"/>
    </xf>
    <xf numFmtId="165" fontId="13" fillId="0" borderId="19" xfId="0" applyNumberFormat="1" applyFont="1" applyBorder="1" applyAlignment="1">
      <alignment horizontal="center" vertical="center"/>
    </xf>
    <xf numFmtId="0" fontId="11" fillId="0" borderId="0" xfId="0" applyFont="1" applyAlignment="1">
      <alignment vertical="center"/>
    </xf>
    <xf numFmtId="4" fontId="17" fillId="8" borderId="10" xfId="2" applyNumberFormat="1" applyFont="1" applyFill="1" applyBorder="1" applyAlignment="1">
      <alignment horizontal="center" vertical="center"/>
    </xf>
    <xf numFmtId="165" fontId="13" fillId="0" borderId="15" xfId="2" applyNumberFormat="1" applyFont="1" applyFill="1" applyBorder="1" applyAlignment="1">
      <alignment horizontal="center" vertical="center"/>
    </xf>
    <xf numFmtId="165" fontId="13" fillId="0" borderId="1" xfId="2" applyNumberFormat="1" applyFont="1" applyFill="1" applyBorder="1" applyAlignment="1">
      <alignment horizontal="center" vertical="center"/>
    </xf>
    <xf numFmtId="165" fontId="13" fillId="0" borderId="19" xfId="2" applyNumberFormat="1" applyFont="1" applyFill="1" applyBorder="1" applyAlignment="1">
      <alignment horizontal="center" vertical="center"/>
    </xf>
    <xf numFmtId="0" fontId="4" fillId="0" borderId="24" xfId="0" applyFont="1" applyBorder="1" applyAlignment="1">
      <alignment horizontal="center" vertical="center"/>
    </xf>
    <xf numFmtId="164" fontId="15" fillId="7" borderId="5" xfId="1" applyNumberFormat="1" applyFont="1" applyFill="1" applyBorder="1" applyAlignment="1">
      <alignment horizontal="center" vertical="center"/>
    </xf>
    <xf numFmtId="0" fontId="15" fillId="7" borderId="4" xfId="1" applyFont="1" applyFill="1" applyBorder="1" applyAlignment="1">
      <alignment horizontal="center" vertical="center"/>
    </xf>
    <xf numFmtId="0" fontId="4" fillId="0" borderId="0" xfId="0" quotePrefix="1" applyFont="1" applyAlignment="1">
      <alignment horizontal="left" vertical="center"/>
    </xf>
    <xf numFmtId="0" fontId="4" fillId="6" borderId="14" xfId="5" applyFill="1" applyBorder="1" applyAlignment="1">
      <alignment horizontal="left" vertical="center"/>
    </xf>
    <xf numFmtId="0" fontId="4" fillId="0" borderId="0" xfId="0" applyFont="1" applyFill="1" applyBorder="1" applyAlignment="1">
      <alignment horizontal="center" vertical="center"/>
    </xf>
    <xf numFmtId="0" fontId="4" fillId="0" borderId="0" xfId="5" applyFill="1" applyBorder="1" applyAlignment="1">
      <alignment horizontal="left" vertical="center"/>
    </xf>
    <xf numFmtId="0" fontId="7" fillId="0" borderId="0" xfId="1" applyFont="1" applyFill="1" applyBorder="1" applyAlignment="1">
      <alignment horizontal="center" vertical="center"/>
    </xf>
    <xf numFmtId="0" fontId="4" fillId="6" borderId="14" xfId="5" quotePrefix="1" applyFill="1" applyBorder="1" applyAlignment="1">
      <alignment horizontal="left" vertical="center"/>
    </xf>
    <xf numFmtId="0" fontId="9" fillId="0" borderId="0" xfId="2" applyFont="1" applyFill="1" applyBorder="1" applyAlignment="1">
      <alignment horizontal="center" vertical="center"/>
    </xf>
    <xf numFmtId="0" fontId="4" fillId="6" borderId="17" xfId="5" applyFill="1" applyBorder="1" applyAlignment="1">
      <alignment vertical="center"/>
    </xf>
    <xf numFmtId="0" fontId="4" fillId="6" borderId="0" xfId="5" applyFill="1" applyBorder="1" applyAlignment="1">
      <alignment vertical="center"/>
    </xf>
    <xf numFmtId="0" fontId="4" fillId="6" borderId="8" xfId="5" applyFill="1" applyBorder="1" applyAlignment="1">
      <alignment vertical="center"/>
    </xf>
    <xf numFmtId="0" fontId="4" fillId="6" borderId="42" xfId="5" quotePrefix="1" applyFill="1" applyBorder="1" applyAlignment="1">
      <alignment vertical="center"/>
    </xf>
    <xf numFmtId="0" fontId="4" fillId="6" borderId="45" xfId="5" applyFill="1" applyBorder="1" applyAlignment="1">
      <alignment vertical="center"/>
    </xf>
    <xf numFmtId="0" fontId="4" fillId="6" borderId="43" xfId="5" applyFill="1" applyBorder="1" applyAlignment="1">
      <alignment vertical="center"/>
    </xf>
    <xf numFmtId="165" fontId="15" fillId="7" borderId="44" xfId="1" applyNumberFormat="1" applyFont="1" applyFill="1" applyBorder="1" applyAlignment="1">
      <alignment horizontal="center" vertical="center"/>
    </xf>
    <xf numFmtId="0" fontId="15" fillId="7" borderId="48" xfId="1" applyNumberFormat="1" applyFont="1" applyFill="1" applyBorder="1" applyAlignment="1">
      <alignment horizontal="center" vertical="center"/>
    </xf>
    <xf numFmtId="0" fontId="4" fillId="0" borderId="0" xfId="3" applyFont="1" applyFill="1" applyBorder="1" applyAlignment="1">
      <alignment vertical="center"/>
    </xf>
    <xf numFmtId="2" fontId="4" fillId="0" borderId="0" xfId="0" applyNumberFormat="1" applyFont="1" applyFill="1" applyBorder="1" applyAlignment="1">
      <alignment horizontal="center" vertical="center"/>
    </xf>
    <xf numFmtId="0" fontId="11" fillId="0" borderId="0" xfId="4" applyFill="1" applyBorder="1" applyAlignment="1">
      <alignment horizontal="left" vertical="center"/>
    </xf>
    <xf numFmtId="165" fontId="13" fillId="0" borderId="50" xfId="2" applyNumberFormat="1" applyFont="1" applyFill="1" applyBorder="1" applyAlignment="1">
      <alignment horizontal="center" vertical="center"/>
    </xf>
    <xf numFmtId="165" fontId="13" fillId="0" borderId="51" xfId="2" applyNumberFormat="1" applyFont="1" applyFill="1" applyBorder="1" applyAlignment="1">
      <alignment horizontal="center" vertical="center"/>
    </xf>
    <xf numFmtId="0" fontId="4" fillId="6" borderId="57" xfId="5" quotePrefix="1" applyFill="1" applyBorder="1" applyAlignment="1">
      <alignment vertical="center"/>
    </xf>
    <xf numFmtId="0" fontId="4" fillId="6" borderId="38" xfId="5" applyFill="1" applyBorder="1" applyAlignment="1">
      <alignment vertical="center"/>
    </xf>
    <xf numFmtId="165" fontId="13" fillId="0" borderId="10" xfId="2" applyNumberFormat="1" applyFont="1" applyFill="1" applyBorder="1" applyAlignment="1">
      <alignment horizontal="center" vertical="center"/>
    </xf>
    <xf numFmtId="0" fontId="0" fillId="0" borderId="0" xfId="0" applyFill="1"/>
    <xf numFmtId="0" fontId="19" fillId="5" borderId="40" xfId="0" applyFont="1" applyFill="1" applyBorder="1"/>
    <xf numFmtId="0" fontId="20" fillId="0" borderId="0" xfId="0" applyFont="1" applyFill="1"/>
    <xf numFmtId="0" fontId="21" fillId="0" borderId="0" xfId="0" applyFont="1" applyFill="1"/>
    <xf numFmtId="0" fontId="21" fillId="0" borderId="0" xfId="0" applyFont="1"/>
    <xf numFmtId="0" fontId="21" fillId="0" borderId="0" xfId="0" applyFont="1" applyAlignment="1"/>
    <xf numFmtId="0" fontId="22" fillId="0" borderId="0" xfId="0" applyFont="1" applyAlignment="1"/>
    <xf numFmtId="0" fontId="22" fillId="0" borderId="0" xfId="0" applyFont="1"/>
    <xf numFmtId="0" fontId="22" fillId="0" borderId="0" xfId="0" applyFont="1" applyFill="1"/>
    <xf numFmtId="0" fontId="23" fillId="0" borderId="0" xfId="0" applyFont="1" applyFill="1"/>
    <xf numFmtId="0" fontId="0" fillId="0" borderId="0" xfId="0" quotePrefix="1" applyFill="1"/>
    <xf numFmtId="14" fontId="0" fillId="0" borderId="0" xfId="0" applyNumberFormat="1" applyFill="1"/>
    <xf numFmtId="14" fontId="0" fillId="0" borderId="0" xfId="0" applyNumberFormat="1"/>
    <xf numFmtId="0" fontId="24" fillId="0" borderId="0" xfId="0" applyFont="1" applyFill="1"/>
    <xf numFmtId="14" fontId="0" fillId="0" borderId="0" xfId="0" applyNumberFormat="1" applyFill="1" applyAlignment="1">
      <alignment horizontal="left"/>
    </xf>
    <xf numFmtId="0" fontId="0" fillId="5" borderId="40" xfId="0" applyFill="1" applyBorder="1"/>
    <xf numFmtId="0" fontId="0" fillId="5" borderId="12" xfId="0" applyFill="1" applyBorder="1"/>
    <xf numFmtId="2" fontId="25" fillId="7" borderId="49" xfId="0" applyNumberFormat="1" applyFont="1" applyFill="1" applyBorder="1" applyAlignment="1">
      <alignment horizontal="center"/>
    </xf>
    <xf numFmtId="2" fontId="26" fillId="0" borderId="49" xfId="0" applyNumberFormat="1" applyFont="1" applyFill="1" applyBorder="1" applyAlignment="1">
      <alignment horizontal="center"/>
    </xf>
    <xf numFmtId="0" fontId="11" fillId="5" borderId="4" xfId="0" applyFont="1" applyFill="1" applyBorder="1" applyAlignment="1">
      <alignment vertical="center"/>
    </xf>
    <xf numFmtId="2" fontId="17" fillId="0" borderId="46" xfId="2" applyNumberFormat="1" applyFont="1" applyFill="1" applyBorder="1" applyAlignment="1">
      <alignment horizontal="center" vertical="center"/>
    </xf>
    <xf numFmtId="2" fontId="17" fillId="0" borderId="47" xfId="2" applyNumberFormat="1" applyFont="1" applyFill="1" applyBorder="1" applyAlignment="1">
      <alignment horizontal="center" vertical="center"/>
    </xf>
    <xf numFmtId="2" fontId="17" fillId="0" borderId="2" xfId="2" applyNumberFormat="1" applyFont="1" applyFill="1" applyBorder="1" applyAlignment="1">
      <alignment horizontal="center" vertical="center"/>
    </xf>
    <xf numFmtId="2" fontId="17" fillId="0" borderId="34" xfId="2" applyNumberFormat="1" applyFont="1" applyFill="1" applyBorder="1" applyAlignment="1">
      <alignment horizontal="center" vertical="center"/>
    </xf>
    <xf numFmtId="2" fontId="17" fillId="0" borderId="22" xfId="2" applyNumberFormat="1" applyFont="1" applyFill="1" applyBorder="1" applyAlignment="1">
      <alignment horizontal="center" vertical="center"/>
    </xf>
    <xf numFmtId="2" fontId="17" fillId="0" borderId="33" xfId="2" applyNumberFormat="1" applyFont="1" applyFill="1" applyBorder="1" applyAlignment="1">
      <alignment horizontal="center" vertical="center"/>
    </xf>
    <xf numFmtId="2" fontId="17" fillId="0" borderId="25" xfId="2" applyNumberFormat="1" applyFont="1" applyFill="1" applyBorder="1" applyAlignment="1">
      <alignment horizontal="center" vertical="center"/>
    </xf>
    <xf numFmtId="2" fontId="17" fillId="0" borderId="35" xfId="2" applyNumberFormat="1" applyFont="1" applyFill="1" applyBorder="1" applyAlignment="1">
      <alignment horizontal="center" vertical="center"/>
    </xf>
    <xf numFmtId="165" fontId="13" fillId="0" borderId="59" xfId="2" applyNumberFormat="1" applyFont="1" applyFill="1" applyBorder="1" applyAlignment="1">
      <alignment horizontal="center" vertical="center"/>
    </xf>
    <xf numFmtId="2" fontId="17" fillId="0" borderId="56" xfId="2" applyNumberFormat="1" applyFont="1" applyFill="1" applyBorder="1" applyAlignment="1">
      <alignment horizontal="center" vertical="center"/>
    </xf>
    <xf numFmtId="2" fontId="17" fillId="0" borderId="60" xfId="2" applyNumberFormat="1" applyFont="1" applyFill="1" applyBorder="1" applyAlignment="1">
      <alignment horizontal="center" vertical="center"/>
    </xf>
    <xf numFmtId="2" fontId="17" fillId="0" borderId="52" xfId="2" applyNumberFormat="1" applyFont="1" applyFill="1" applyBorder="1" applyAlignment="1">
      <alignment horizontal="center" vertical="center"/>
    </xf>
    <xf numFmtId="2" fontId="17" fillId="0" borderId="61" xfId="2" applyNumberFormat="1" applyFont="1" applyFill="1" applyBorder="1" applyAlignment="1">
      <alignment horizontal="center" vertical="center"/>
    </xf>
    <xf numFmtId="2" fontId="17" fillId="0" borderId="53" xfId="2" applyNumberFormat="1" applyFont="1" applyFill="1" applyBorder="1" applyAlignment="1">
      <alignment horizontal="center" vertical="center"/>
    </xf>
    <xf numFmtId="2" fontId="17" fillId="0" borderId="54" xfId="2" applyNumberFormat="1" applyFont="1" applyFill="1" applyBorder="1" applyAlignment="1">
      <alignment horizontal="center" vertical="center"/>
    </xf>
    <xf numFmtId="2" fontId="17" fillId="0" borderId="55" xfId="2" applyNumberFormat="1" applyFont="1" applyFill="1" applyBorder="1" applyAlignment="1">
      <alignment horizontal="center" vertical="center"/>
    </xf>
    <xf numFmtId="0" fontId="11" fillId="9" borderId="30"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32" xfId="0" applyFont="1" applyFill="1" applyBorder="1" applyAlignment="1">
      <alignment horizontal="center" vertical="center"/>
    </xf>
    <xf numFmtId="0" fontId="4" fillId="10" borderId="11" xfId="5" applyFill="1" applyBorder="1" applyAlignment="1">
      <alignment horizontal="left" vertical="center"/>
    </xf>
    <xf numFmtId="0" fontId="4" fillId="10" borderId="40" xfId="0" applyFont="1" applyFill="1" applyBorder="1" applyAlignment="1">
      <alignment vertical="center"/>
    </xf>
    <xf numFmtId="0" fontId="4" fillId="10" borderId="12" xfId="0" applyFont="1" applyFill="1" applyBorder="1" applyAlignment="1">
      <alignment vertical="center"/>
    </xf>
    <xf numFmtId="0" fontId="4" fillId="10" borderId="41" xfId="5" applyFill="1" applyBorder="1" applyAlignment="1">
      <alignment horizontal="left" vertical="center"/>
    </xf>
    <xf numFmtId="0" fontId="4" fillId="10" borderId="28" xfId="0" applyFont="1" applyFill="1" applyBorder="1" applyAlignment="1">
      <alignment vertical="center"/>
    </xf>
    <xf numFmtId="0" fontId="4" fillId="10" borderId="29" xfId="0" applyFont="1" applyFill="1" applyBorder="1" applyAlignment="1">
      <alignment vertical="center"/>
    </xf>
    <xf numFmtId="0" fontId="4" fillId="10" borderId="11" xfId="5" applyFill="1" applyBorder="1" applyAlignment="1">
      <alignment vertical="center"/>
    </xf>
    <xf numFmtId="0" fontId="4" fillId="10" borderId="40" xfId="5" applyFill="1" applyBorder="1" applyAlignment="1">
      <alignment vertical="center"/>
    </xf>
    <xf numFmtId="0" fontId="4" fillId="10" borderId="12" xfId="5" applyFill="1" applyBorder="1" applyAlignment="1">
      <alignment vertical="center"/>
    </xf>
    <xf numFmtId="0" fontId="11" fillId="5" borderId="11" xfId="4" applyFill="1" applyBorder="1" applyAlignment="1">
      <alignment horizontal="left" vertical="center"/>
    </xf>
    <xf numFmtId="0" fontId="9" fillId="5" borderId="40" xfId="2" applyFont="1" applyFill="1" applyBorder="1" applyAlignment="1">
      <alignment horizontal="center" vertical="center"/>
    </xf>
    <xf numFmtId="0" fontId="9" fillId="5" borderId="12" xfId="2" applyFont="1" applyFill="1" applyBorder="1" applyAlignment="1">
      <alignment horizontal="center" vertical="center"/>
    </xf>
    <xf numFmtId="0" fontId="4" fillId="6" borderId="41" xfId="5" quotePrefix="1" applyFill="1" applyBorder="1" applyAlignment="1">
      <alignment vertical="center"/>
    </xf>
    <xf numFmtId="0" fontId="4" fillId="6" borderId="28" xfId="5" applyFill="1" applyBorder="1" applyAlignment="1">
      <alignment vertical="center"/>
    </xf>
    <xf numFmtId="0" fontId="4" fillId="6" borderId="58" xfId="0" applyFont="1" applyFill="1" applyBorder="1" applyAlignment="1">
      <alignment vertical="center"/>
    </xf>
    <xf numFmtId="165" fontId="13" fillId="0" borderId="56" xfId="2" applyNumberFormat="1" applyFont="1" applyFill="1" applyBorder="1" applyAlignment="1">
      <alignment horizontal="center" vertical="center"/>
    </xf>
    <xf numFmtId="165" fontId="13" fillId="0" borderId="60" xfId="2" applyNumberFormat="1" applyFont="1" applyFill="1" applyBorder="1" applyAlignment="1">
      <alignment horizontal="center" vertical="center"/>
    </xf>
    <xf numFmtId="165" fontId="13" fillId="0" borderId="61" xfId="2" applyNumberFormat="1" applyFont="1" applyFill="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165" fontId="13" fillId="0" borderId="52" xfId="2" applyNumberFormat="1"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27" fillId="5" borderId="11" xfId="0" applyFont="1" applyFill="1" applyBorder="1"/>
    <xf numFmtId="165" fontId="13" fillId="0" borderId="47" xfId="2" applyNumberFormat="1" applyFont="1" applyFill="1" applyBorder="1" applyAlignment="1">
      <alignment horizontal="center" vertical="center"/>
    </xf>
    <xf numFmtId="165" fontId="13" fillId="0" borderId="34" xfId="2" applyNumberFormat="1" applyFont="1" applyFill="1" applyBorder="1" applyAlignment="1">
      <alignment horizontal="center" vertical="center"/>
    </xf>
    <xf numFmtId="165" fontId="13" fillId="0" borderId="35" xfId="2" applyNumberFormat="1" applyFont="1" applyFill="1" applyBorder="1" applyAlignment="1">
      <alignment horizontal="center" vertical="center"/>
    </xf>
    <xf numFmtId="2" fontId="17" fillId="0" borderId="62" xfId="2" applyNumberFormat="1" applyFont="1" applyFill="1" applyBorder="1" applyAlignment="1">
      <alignment horizontal="center" vertical="center"/>
    </xf>
    <xf numFmtId="2" fontId="17" fillId="0" borderId="63" xfId="2" applyNumberFormat="1" applyFont="1" applyFill="1" applyBorder="1" applyAlignment="1">
      <alignment horizontal="center" vertical="center"/>
    </xf>
    <xf numFmtId="14" fontId="0" fillId="0" borderId="0" xfId="0" applyNumberFormat="1" applyAlignment="1">
      <alignment horizontal="left"/>
    </xf>
    <xf numFmtId="0" fontId="21" fillId="0" borderId="0" xfId="0" applyFont="1" applyAlignment="1">
      <alignment wrapText="1"/>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28" xfId="0" applyFont="1" applyFill="1" applyBorder="1" applyAlignment="1">
      <alignment horizontal="center" vertical="center"/>
    </xf>
    <xf numFmtId="0" fontId="11" fillId="9" borderId="29"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64" fontId="15" fillId="7" borderId="5" xfId="1" applyNumberFormat="1" applyFont="1" applyFill="1" applyBorder="1" applyAlignment="1">
      <alignment horizontal="center" vertical="center"/>
    </xf>
    <xf numFmtId="164" fontId="15" fillId="7" borderId="6" xfId="1" applyNumberFormat="1" applyFont="1" applyFill="1" applyBorder="1" applyAlignment="1">
      <alignment horizontal="center" vertical="center"/>
    </xf>
    <xf numFmtId="0" fontId="4" fillId="6" borderId="13" xfId="5" applyFill="1" applyBorder="1" applyAlignment="1">
      <alignment vertical="center" wrapText="1"/>
    </xf>
    <xf numFmtId="0" fontId="4" fillId="6" borderId="36" xfId="5" applyFill="1" applyBorder="1" applyAlignment="1">
      <alignment vertical="center" wrapText="1"/>
    </xf>
    <xf numFmtId="0" fontId="4" fillId="6" borderId="7" xfId="5" applyFill="1" applyBorder="1" applyAlignment="1">
      <alignment vertical="center" wrapText="1"/>
    </xf>
    <xf numFmtId="0" fontId="4" fillId="6" borderId="14" xfId="5" applyFill="1" applyBorder="1" applyAlignment="1">
      <alignment vertical="center" wrapText="1"/>
    </xf>
    <xf numFmtId="0" fontId="4" fillId="6" borderId="37" xfId="5" applyFill="1" applyBorder="1" applyAlignment="1">
      <alignment vertical="center" wrapText="1"/>
    </xf>
    <xf numFmtId="0" fontId="4" fillId="6" borderId="9" xfId="5" applyFill="1" applyBorder="1" applyAlignment="1">
      <alignment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6" borderId="1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4" xfId="0" applyFont="1" applyBorder="1" applyAlignment="1">
      <alignment horizontal="center" vertical="center"/>
    </xf>
  </cellXfs>
  <cellStyles count="6">
    <cellStyle name="Calculation" xfId="2" builtinId="22"/>
    <cellStyle name="Input" xfId="1" builtinId="20"/>
    <cellStyle name="Normal" xfId="0" builtinId="0"/>
    <cellStyle name="Note" xfId="3" builtinId="10"/>
    <cellStyle name="note color" xfId="5"/>
    <cellStyle name="yeller" xfId="4"/>
  </cellStyles>
  <dxfs count="4">
    <dxf>
      <font>
        <b val="0"/>
        <i val="0"/>
        <color auto="1"/>
      </font>
      <fill>
        <patternFill patternType="darkTrellis">
          <bgColor auto="1"/>
        </patternFill>
      </fill>
    </dxf>
    <dxf>
      <font>
        <b val="0"/>
        <i val="0"/>
        <color auto="1"/>
      </font>
      <fill>
        <patternFill patternType="darkTrellis">
          <bgColor auto="1"/>
        </patternFill>
      </fill>
    </dxf>
    <dxf>
      <font>
        <b val="0"/>
        <i val="0"/>
        <color theme="1"/>
      </font>
      <fill>
        <patternFill patternType="darkTrellis">
          <fgColor auto="1"/>
          <bgColor auto="1"/>
        </patternFill>
      </fill>
    </dxf>
    <dxf>
      <font>
        <b val="0"/>
        <i val="0"/>
        <color theme="1"/>
      </font>
      <fill>
        <patternFill patternType="darkTrellis">
          <fgColor auto="1"/>
          <bgColor auto="1"/>
        </patternFill>
      </fill>
    </dxf>
  </dxfs>
  <tableStyles count="0" defaultTableStyle="TableStyleMedium2" defaultPivotStyle="PivotStyleLight16"/>
  <colors>
    <mruColors>
      <color rgb="FF7F7F7F"/>
      <color rgb="FFCCFFFF"/>
      <color rgb="FFFFFFCC"/>
      <color rgb="FFFFFF99"/>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533399</xdr:colOff>
      <xdr:row>23</xdr:row>
      <xdr:rowOff>150300</xdr:rowOff>
    </xdr:from>
    <xdr:to>
      <xdr:col>13</xdr:col>
      <xdr:colOff>428062</xdr:colOff>
      <xdr:row>32</xdr:row>
      <xdr:rowOff>37861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991849" y="4608000"/>
          <a:ext cx="3780863" cy="1602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466725</xdr:colOff>
      <xdr:row>0</xdr:row>
      <xdr:rowOff>152401</xdr:rowOff>
    </xdr:from>
    <xdr:to>
      <xdr:col>20</xdr:col>
      <xdr:colOff>581025</xdr:colOff>
      <xdr:row>26</xdr:row>
      <xdr:rowOff>57183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191375" y="152401"/>
          <a:ext cx="4991100" cy="4857782"/>
        </a:xfrm>
        <a:prstGeom prst="rect">
          <a:avLst/>
        </a:prstGeom>
      </xdr:spPr>
    </xdr:pic>
    <xdr:clientData/>
  </xdr:twoCellAnchor>
  <xdr:twoCellAnchor editAs="oneCell">
    <xdr:from>
      <xdr:col>3</xdr:col>
      <xdr:colOff>600075</xdr:colOff>
      <xdr:row>0</xdr:row>
      <xdr:rowOff>114301</xdr:rowOff>
    </xdr:from>
    <xdr:to>
      <xdr:col>12</xdr:col>
      <xdr:colOff>47439</xdr:colOff>
      <xdr:row>33</xdr:row>
      <xdr:rowOff>95250</xdr:rowOff>
    </xdr:to>
    <xdr:pic>
      <xdr:nvPicPr>
        <xdr:cNvPr id="5" name="Picture 4">
          <a:extLst>
            <a:ext uri="{FF2B5EF4-FFF2-40B4-BE49-F238E27FC236}">
              <a16:creationId xmlns:a16="http://schemas.microsoft.com/office/drawing/2014/main" id="{23B10ACA-2129-49A2-BF25-BA05E8ED0AAE}"/>
            </a:ext>
          </a:extLst>
        </xdr:cNvPr>
        <xdr:cNvPicPr>
          <a:picLocks noChangeAspect="1"/>
        </xdr:cNvPicPr>
      </xdr:nvPicPr>
      <xdr:blipFill>
        <a:blip xmlns:r="http://schemas.openxmlformats.org/officeDocument/2006/relationships" r:embed="rId2"/>
        <a:stretch>
          <a:fillRect/>
        </a:stretch>
      </xdr:blipFill>
      <xdr:spPr>
        <a:xfrm>
          <a:off x="1838325" y="114301"/>
          <a:ext cx="4933764" cy="6267449"/>
        </a:xfrm>
        <a:prstGeom prst="rect">
          <a:avLst/>
        </a:prstGeom>
      </xdr:spPr>
    </xdr:pic>
    <xdr:clientData/>
  </xdr:twoCellAnchor>
  <xdr:twoCellAnchor editAs="oneCell">
    <xdr:from>
      <xdr:col>7</xdr:col>
      <xdr:colOff>57150</xdr:colOff>
      <xdr:row>32</xdr:row>
      <xdr:rowOff>180975</xdr:rowOff>
    </xdr:from>
    <xdr:to>
      <xdr:col>17</xdr:col>
      <xdr:colOff>37340</xdr:colOff>
      <xdr:row>37</xdr:row>
      <xdr:rowOff>47523</xdr:rowOff>
    </xdr:to>
    <xdr:pic>
      <xdr:nvPicPr>
        <xdr:cNvPr id="6" name="Picture 5">
          <a:extLst>
            <a:ext uri="{FF2B5EF4-FFF2-40B4-BE49-F238E27FC236}">
              <a16:creationId xmlns:a16="http://schemas.microsoft.com/office/drawing/2014/main" id="{FE28EBD6-602A-42EB-8DBF-5867875A6481}"/>
            </a:ext>
          </a:extLst>
        </xdr:cNvPr>
        <xdr:cNvPicPr>
          <a:picLocks noChangeAspect="1"/>
        </xdr:cNvPicPr>
      </xdr:nvPicPr>
      <xdr:blipFill>
        <a:blip xmlns:r="http://schemas.openxmlformats.org/officeDocument/2006/relationships" r:embed="rId3"/>
        <a:stretch>
          <a:fillRect/>
        </a:stretch>
      </xdr:blipFill>
      <xdr:spPr>
        <a:xfrm>
          <a:off x="3733800" y="6276975"/>
          <a:ext cx="6076190" cy="8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
  <sheetViews>
    <sheetView showGridLines="0" tabSelected="1" workbookViewId="0"/>
  </sheetViews>
  <sheetFormatPr defaultRowHeight="15" x14ac:dyDescent="0.25"/>
  <cols>
    <col min="2" max="2" width="11.5703125" bestFit="1" customWidth="1"/>
    <col min="8" max="8" width="9.42578125" bestFit="1" customWidth="1"/>
  </cols>
  <sheetData>
    <row r="1" spans="1:16" x14ac:dyDescent="0.25">
      <c r="A1" s="91"/>
      <c r="B1" s="91"/>
      <c r="C1" s="91"/>
      <c r="D1" s="91"/>
      <c r="E1" s="91"/>
      <c r="F1" s="91"/>
      <c r="G1" s="91"/>
      <c r="H1" s="91"/>
      <c r="I1" s="91"/>
      <c r="J1" s="91"/>
      <c r="K1" s="91"/>
      <c r="L1" s="91"/>
      <c r="M1" s="91"/>
      <c r="N1" s="91"/>
      <c r="O1" s="91"/>
      <c r="P1" s="91"/>
    </row>
    <row r="2" spans="1:16" ht="15.75" thickBot="1" x14ac:dyDescent="0.3">
      <c r="A2" s="91"/>
      <c r="B2" s="91"/>
      <c r="C2" s="91"/>
      <c r="D2" s="91"/>
      <c r="E2" s="91"/>
      <c r="F2" s="91"/>
      <c r="G2" s="91"/>
      <c r="H2" s="91"/>
      <c r="I2" s="91"/>
      <c r="J2" s="91"/>
      <c r="K2" s="91"/>
      <c r="L2" s="91"/>
      <c r="M2" s="91"/>
      <c r="N2" s="91"/>
      <c r="O2" s="91"/>
      <c r="P2" s="91"/>
    </row>
    <row r="3" spans="1:16" ht="21" thickBot="1" x14ac:dyDescent="0.35">
      <c r="A3" s="91"/>
      <c r="B3" s="155" t="s">
        <v>91</v>
      </c>
      <c r="C3" s="92"/>
      <c r="D3" s="92"/>
      <c r="E3" s="92"/>
      <c r="F3" s="106"/>
      <c r="G3" s="106"/>
      <c r="H3" s="106"/>
      <c r="I3" s="106"/>
      <c r="J3" s="106"/>
      <c r="K3" s="107"/>
      <c r="L3" s="91"/>
      <c r="M3" s="93" t="s">
        <v>92</v>
      </c>
      <c r="N3" s="91"/>
      <c r="O3" s="91"/>
      <c r="P3" s="91"/>
    </row>
    <row r="4" spans="1:16" x14ac:dyDescent="0.25">
      <c r="A4" s="91"/>
      <c r="B4" s="94" t="s">
        <v>77</v>
      </c>
      <c r="C4" s="94"/>
      <c r="D4" s="94"/>
      <c r="E4" s="94"/>
      <c r="F4" s="94"/>
      <c r="G4" s="94"/>
      <c r="H4" s="94"/>
      <c r="J4" s="94"/>
      <c r="L4" s="94"/>
      <c r="M4" s="93" t="s">
        <v>121</v>
      </c>
      <c r="N4" s="91"/>
      <c r="O4" s="91"/>
      <c r="P4" s="91"/>
    </row>
    <row r="5" spans="1:16" x14ac:dyDescent="0.25">
      <c r="A5" s="91"/>
      <c r="B5" s="95" t="s">
        <v>78</v>
      </c>
      <c r="C5" s="94"/>
      <c r="D5" s="94"/>
      <c r="E5" s="94"/>
      <c r="F5" s="94"/>
      <c r="G5" s="94"/>
      <c r="H5" s="94"/>
      <c r="I5" s="95"/>
      <c r="J5" s="94"/>
      <c r="K5" s="94"/>
      <c r="L5" s="94"/>
      <c r="M5" s="94"/>
      <c r="N5" s="91"/>
      <c r="O5" s="91"/>
      <c r="P5" s="91"/>
    </row>
    <row r="6" spans="1:16" x14ac:dyDescent="0.25">
      <c r="A6" s="91"/>
      <c r="B6" s="95" t="s">
        <v>79</v>
      </c>
      <c r="C6" s="95"/>
      <c r="D6" s="95"/>
      <c r="E6" s="95"/>
      <c r="F6" s="95"/>
      <c r="G6" s="95"/>
      <c r="H6" s="95"/>
      <c r="I6" s="95"/>
      <c r="J6" s="95"/>
      <c r="K6" s="95"/>
      <c r="L6" s="95"/>
      <c r="M6" s="95"/>
      <c r="N6" s="91"/>
      <c r="O6" s="91"/>
      <c r="P6" s="91"/>
    </row>
    <row r="7" spans="1:16" ht="15" customHeight="1" x14ac:dyDescent="0.25">
      <c r="A7" s="91"/>
      <c r="B7" s="162" t="s">
        <v>80</v>
      </c>
      <c r="C7" s="162"/>
      <c r="D7" s="162"/>
      <c r="E7" s="162"/>
      <c r="F7" s="162"/>
      <c r="G7" s="162"/>
      <c r="H7" s="162"/>
      <c r="I7" s="162"/>
      <c r="J7" s="162"/>
      <c r="K7" s="162"/>
      <c r="L7" s="162"/>
      <c r="M7" s="162"/>
      <c r="N7" s="91"/>
      <c r="O7" s="91"/>
      <c r="P7" s="91"/>
    </row>
    <row r="8" spans="1:16" x14ac:dyDescent="0.25">
      <c r="A8" s="91"/>
      <c r="B8" s="162"/>
      <c r="C8" s="162"/>
      <c r="D8" s="162"/>
      <c r="E8" s="162"/>
      <c r="F8" s="162"/>
      <c r="G8" s="162"/>
      <c r="H8" s="162"/>
      <c r="I8" s="162"/>
      <c r="J8" s="162"/>
      <c r="K8" s="162"/>
      <c r="L8" s="162"/>
      <c r="M8" s="162"/>
      <c r="N8" s="91"/>
      <c r="O8" s="91"/>
      <c r="P8" s="91"/>
    </row>
    <row r="9" spans="1:16" x14ac:dyDescent="0.25">
      <c r="A9" s="91"/>
      <c r="B9" s="162"/>
      <c r="C9" s="162"/>
      <c r="D9" s="162"/>
      <c r="E9" s="162"/>
      <c r="F9" s="162"/>
      <c r="G9" s="162"/>
      <c r="H9" s="162"/>
      <c r="I9" s="162"/>
      <c r="J9" s="162"/>
      <c r="K9" s="162"/>
      <c r="L9" s="162"/>
      <c r="M9" s="162"/>
      <c r="N9" s="91"/>
      <c r="O9" s="91"/>
      <c r="P9" s="91"/>
    </row>
    <row r="10" spans="1:16" x14ac:dyDescent="0.25">
      <c r="A10" s="91"/>
      <c r="B10" s="162"/>
      <c r="C10" s="162"/>
      <c r="D10" s="162"/>
      <c r="E10" s="162"/>
      <c r="F10" s="162"/>
      <c r="G10" s="162"/>
      <c r="H10" s="162"/>
      <c r="I10" s="162"/>
      <c r="J10" s="162"/>
      <c r="K10" s="162"/>
      <c r="L10" s="162"/>
      <c r="M10" s="162"/>
      <c r="N10" s="91"/>
      <c r="O10" s="91"/>
      <c r="P10" s="91"/>
    </row>
    <row r="11" spans="1:16" x14ac:dyDescent="0.25">
      <c r="A11" s="91"/>
      <c r="B11" s="162"/>
      <c r="C11" s="162"/>
      <c r="D11" s="162"/>
      <c r="E11" s="162"/>
      <c r="F11" s="162"/>
      <c r="G11" s="162"/>
      <c r="H11" s="162"/>
      <c r="I11" s="162"/>
      <c r="J11" s="162"/>
      <c r="K11" s="162"/>
      <c r="L11" s="162"/>
      <c r="M11" s="162"/>
      <c r="N11" s="91"/>
      <c r="O11" s="91"/>
      <c r="P11" s="91"/>
    </row>
    <row r="12" spans="1:16" x14ac:dyDescent="0.25">
      <c r="A12" s="91"/>
      <c r="B12" s="95"/>
      <c r="C12" s="95"/>
      <c r="D12" s="95"/>
      <c r="E12" s="95"/>
      <c r="F12" s="95"/>
      <c r="G12" s="95"/>
      <c r="H12" s="95"/>
      <c r="I12" s="95"/>
      <c r="J12" s="95"/>
      <c r="K12" s="94"/>
      <c r="L12" s="94"/>
      <c r="M12" s="94"/>
      <c r="N12" s="91"/>
      <c r="O12" s="91"/>
      <c r="P12" s="91"/>
    </row>
    <row r="13" spans="1:16" x14ac:dyDescent="0.25">
      <c r="A13" s="91"/>
      <c r="B13" s="96" t="s">
        <v>81</v>
      </c>
      <c r="C13" s="96"/>
      <c r="D13" s="96"/>
      <c r="E13" s="96"/>
      <c r="F13" s="96"/>
      <c r="G13" s="96"/>
      <c r="H13" s="96"/>
      <c r="I13" s="96"/>
      <c r="J13" s="96"/>
      <c r="K13" s="96"/>
      <c r="L13" s="96"/>
      <c r="M13" s="96"/>
      <c r="N13" s="91"/>
      <c r="O13" s="91"/>
      <c r="P13" s="91"/>
    </row>
    <row r="14" spans="1:16" x14ac:dyDescent="0.25">
      <c r="A14" s="91"/>
      <c r="B14" s="97"/>
      <c r="C14" s="97"/>
      <c r="D14" s="97"/>
      <c r="E14" s="97"/>
      <c r="F14" s="97"/>
      <c r="G14" s="97"/>
      <c r="H14" s="97"/>
      <c r="I14" s="97"/>
      <c r="J14" s="97"/>
      <c r="K14" s="97"/>
      <c r="L14" s="97"/>
      <c r="M14" s="97"/>
      <c r="N14" s="91"/>
      <c r="O14" s="91"/>
      <c r="P14" s="91"/>
    </row>
    <row r="15" spans="1:16" x14ac:dyDescent="0.25">
      <c r="A15" s="91"/>
      <c r="B15" s="95" t="s">
        <v>82</v>
      </c>
      <c r="C15" s="98"/>
      <c r="D15" s="98"/>
      <c r="E15" s="98"/>
      <c r="F15" s="98"/>
      <c r="G15" s="98"/>
      <c r="H15" s="98"/>
      <c r="I15" s="98"/>
      <c r="J15" s="98"/>
      <c r="K15" s="99"/>
      <c r="L15" s="99"/>
      <c r="M15" s="99"/>
      <c r="N15" s="91"/>
      <c r="O15" s="91"/>
      <c r="P15" s="91"/>
    </row>
    <row r="16" spans="1:16" x14ac:dyDescent="0.25">
      <c r="A16" s="91"/>
      <c r="B16" s="95"/>
      <c r="C16" s="98"/>
      <c r="D16" s="98"/>
      <c r="E16" s="98"/>
      <c r="F16" s="98"/>
      <c r="G16" s="98"/>
      <c r="H16" s="98"/>
      <c r="I16" s="98"/>
      <c r="J16" s="98"/>
      <c r="K16" s="99"/>
      <c r="L16" s="99"/>
      <c r="M16" s="99"/>
      <c r="N16" s="91"/>
      <c r="O16" s="91"/>
      <c r="P16" s="91"/>
    </row>
    <row r="17" spans="1:16" ht="15.75" x14ac:dyDescent="0.25">
      <c r="A17" s="91"/>
      <c r="B17" s="100" t="s">
        <v>83</v>
      </c>
      <c r="H17" s="98"/>
      <c r="I17" s="98"/>
      <c r="J17" s="98"/>
      <c r="K17" s="98"/>
      <c r="L17" s="98"/>
      <c r="M17" s="99"/>
      <c r="N17" s="91"/>
      <c r="O17" s="91"/>
      <c r="P17" s="91"/>
    </row>
    <row r="18" spans="1:16" x14ac:dyDescent="0.25">
      <c r="A18" s="91"/>
      <c r="B18" s="91" t="s">
        <v>93</v>
      </c>
      <c r="C18" s="91"/>
      <c r="D18" s="91"/>
      <c r="E18" s="91"/>
      <c r="F18" s="91"/>
      <c r="G18" s="91"/>
      <c r="H18" s="98"/>
      <c r="I18" s="99"/>
      <c r="J18" s="99"/>
      <c r="K18" s="99"/>
      <c r="L18" s="99"/>
      <c r="M18" s="99"/>
      <c r="N18" s="91"/>
      <c r="O18" s="91"/>
      <c r="P18" s="91"/>
    </row>
    <row r="19" spans="1:16" x14ac:dyDescent="0.25">
      <c r="A19" s="91"/>
      <c r="B19" s="91" t="s">
        <v>150</v>
      </c>
      <c r="C19" s="91"/>
      <c r="D19" s="91"/>
      <c r="E19" s="91"/>
      <c r="F19" s="91"/>
      <c r="G19" s="91"/>
      <c r="I19" s="91"/>
      <c r="J19" s="91"/>
      <c r="K19" s="91"/>
      <c r="L19" s="91"/>
      <c r="M19" s="91"/>
      <c r="N19" s="91"/>
      <c r="O19" s="91"/>
      <c r="P19" s="91"/>
    </row>
    <row r="20" spans="1:16" x14ac:dyDescent="0.25">
      <c r="A20" s="91"/>
      <c r="B20" t="s">
        <v>131</v>
      </c>
      <c r="C20" s="91"/>
      <c r="D20" s="91"/>
      <c r="E20" s="91"/>
      <c r="F20" s="91"/>
      <c r="G20" s="91"/>
      <c r="K20" s="91"/>
      <c r="L20" s="91"/>
      <c r="M20" s="91"/>
      <c r="N20" s="91"/>
      <c r="O20" s="91"/>
      <c r="P20" s="91"/>
    </row>
    <row r="21" spans="1:16" x14ac:dyDescent="0.25">
      <c r="A21" s="91"/>
      <c r="M21" s="91"/>
      <c r="N21" s="91"/>
      <c r="O21" s="91"/>
      <c r="P21" s="91"/>
    </row>
    <row r="22" spans="1:16" ht="15.75" x14ac:dyDescent="0.25">
      <c r="A22" s="91"/>
      <c r="B22" s="100" t="s">
        <v>84</v>
      </c>
      <c r="D22" s="91"/>
      <c r="E22" s="91"/>
      <c r="F22" s="91"/>
      <c r="G22" s="91"/>
      <c r="H22" s="91"/>
      <c r="I22" s="91"/>
      <c r="J22" s="91"/>
      <c r="K22" s="91"/>
      <c r="L22" s="91"/>
      <c r="M22" s="91"/>
      <c r="N22" s="91"/>
      <c r="O22" s="91"/>
      <c r="P22" s="91"/>
    </row>
    <row r="23" spans="1:16" x14ac:dyDescent="0.25">
      <c r="A23" s="91"/>
      <c r="B23" s="102" t="s">
        <v>88</v>
      </c>
      <c r="D23" s="91"/>
      <c r="E23" s="91"/>
      <c r="F23" s="91"/>
      <c r="G23" s="91"/>
      <c r="H23" s="91"/>
      <c r="I23" s="91"/>
      <c r="J23" s="91"/>
      <c r="K23" s="91"/>
      <c r="L23" s="91"/>
      <c r="M23" s="91"/>
      <c r="N23" s="91"/>
      <c r="O23" s="91"/>
      <c r="P23" s="91"/>
    </row>
    <row r="24" spans="1:16" x14ac:dyDescent="0.25">
      <c r="B24" s="91" t="s">
        <v>85</v>
      </c>
      <c r="F24" s="91"/>
      <c r="G24" s="91"/>
      <c r="H24" s="108">
        <v>746.24</v>
      </c>
      <c r="I24" s="91"/>
      <c r="J24" s="91"/>
      <c r="K24" s="91"/>
      <c r="L24" s="91"/>
      <c r="M24" s="91"/>
      <c r="N24" s="91"/>
      <c r="O24" s="91"/>
      <c r="P24" s="91"/>
    </row>
    <row r="25" spans="1:16" x14ac:dyDescent="0.25">
      <c r="B25" s="91" t="s">
        <v>86</v>
      </c>
      <c r="F25" s="91"/>
      <c r="G25" s="91"/>
      <c r="H25" s="109">
        <f>IF(H24&lt;&gt;"",H24-30,"N/A")</f>
        <v>716.24</v>
      </c>
      <c r="I25" s="101" t="s">
        <v>87</v>
      </c>
      <c r="J25" s="91"/>
      <c r="K25" s="91"/>
      <c r="L25" s="91"/>
      <c r="M25" s="91"/>
      <c r="N25" s="91"/>
      <c r="O25" s="91"/>
      <c r="P25" s="91"/>
    </row>
    <row r="26" spans="1:16" x14ac:dyDescent="0.25">
      <c r="A26" s="91"/>
      <c r="K26" s="91"/>
      <c r="L26" s="91"/>
      <c r="M26" s="91"/>
      <c r="N26" s="91"/>
      <c r="O26" s="91"/>
      <c r="P26" s="91"/>
    </row>
    <row r="27" spans="1:16" x14ac:dyDescent="0.25">
      <c r="A27" s="91"/>
      <c r="B27" s="104" t="s">
        <v>89</v>
      </c>
      <c r="C27" s="91"/>
      <c r="D27" s="104" t="s">
        <v>90</v>
      </c>
      <c r="E27" s="91"/>
      <c r="F27" s="91"/>
      <c r="G27" s="91"/>
      <c r="H27" s="91"/>
      <c r="I27" s="91"/>
      <c r="J27" s="91"/>
      <c r="K27" s="91"/>
      <c r="L27" s="91"/>
      <c r="M27" s="91"/>
      <c r="N27" s="91"/>
      <c r="O27" s="91"/>
      <c r="P27" s="91"/>
    </row>
    <row r="28" spans="1:16" x14ac:dyDescent="0.25">
      <c r="A28" s="91"/>
      <c r="B28" s="105">
        <v>42563</v>
      </c>
      <c r="C28" s="91"/>
      <c r="D28" s="91" t="s">
        <v>94</v>
      </c>
      <c r="E28" s="91"/>
      <c r="F28" s="91"/>
      <c r="G28" s="91"/>
      <c r="H28" s="91"/>
      <c r="I28" s="91"/>
      <c r="J28" s="91"/>
      <c r="K28" s="91"/>
      <c r="L28" s="91"/>
      <c r="M28" s="91"/>
      <c r="N28" s="91"/>
      <c r="O28" s="91"/>
      <c r="P28" s="91"/>
    </row>
    <row r="29" spans="1:16" x14ac:dyDescent="0.25">
      <c r="A29" s="91"/>
      <c r="B29" s="161">
        <v>43286</v>
      </c>
      <c r="D29" t="s">
        <v>122</v>
      </c>
      <c r="H29" s="91"/>
      <c r="I29" s="91"/>
      <c r="J29" s="91"/>
      <c r="K29" s="91"/>
      <c r="L29" s="91"/>
      <c r="M29" s="91"/>
      <c r="N29" s="91"/>
      <c r="O29" s="91"/>
      <c r="P29" s="91"/>
    </row>
    <row r="30" spans="1:16" x14ac:dyDescent="0.25">
      <c r="A30" s="91"/>
      <c r="H30" s="91"/>
      <c r="I30" s="91"/>
      <c r="J30" s="91"/>
      <c r="K30" s="91"/>
      <c r="L30" s="91"/>
      <c r="M30" s="91"/>
      <c r="N30" s="91"/>
      <c r="O30" s="91"/>
      <c r="P30" s="91"/>
    </row>
    <row r="31" spans="1:16" x14ac:dyDescent="0.25">
      <c r="A31" s="91"/>
      <c r="H31" s="91"/>
      <c r="I31" s="91"/>
      <c r="J31" s="91"/>
      <c r="K31" s="91"/>
      <c r="L31" s="91"/>
      <c r="M31" s="91"/>
      <c r="N31" s="91"/>
      <c r="O31" s="91"/>
      <c r="P31" s="91"/>
    </row>
    <row r="32" spans="1:16" x14ac:dyDescent="0.25">
      <c r="M32" s="91"/>
      <c r="N32" s="91"/>
      <c r="O32" s="91"/>
      <c r="P32" s="91"/>
    </row>
    <row r="33" spans="1:16" x14ac:dyDescent="0.25">
      <c r="M33" s="91"/>
      <c r="N33" s="91"/>
      <c r="O33" s="91"/>
      <c r="P33" s="91"/>
    </row>
    <row r="34" spans="1:16" x14ac:dyDescent="0.25">
      <c r="M34" s="91"/>
      <c r="N34" s="91"/>
      <c r="O34" s="91"/>
      <c r="P34" s="91"/>
    </row>
    <row r="35" spans="1:16" x14ac:dyDescent="0.25">
      <c r="M35" s="91"/>
      <c r="N35" s="91"/>
      <c r="O35" s="91"/>
      <c r="P35" s="91"/>
    </row>
    <row r="36" spans="1:16" x14ac:dyDescent="0.25">
      <c r="M36" s="91"/>
      <c r="N36" s="91"/>
      <c r="O36" s="91"/>
      <c r="P36" s="91"/>
    </row>
    <row r="37" spans="1:16" x14ac:dyDescent="0.25">
      <c r="M37" s="91"/>
      <c r="N37" s="91"/>
      <c r="O37" s="91"/>
      <c r="P37" s="91"/>
    </row>
    <row r="38" spans="1:16" x14ac:dyDescent="0.25">
      <c r="B38" s="103"/>
      <c r="D38" s="91"/>
      <c r="F38" s="91"/>
      <c r="G38" s="91"/>
      <c r="H38" s="91"/>
      <c r="I38" s="91"/>
      <c r="J38" s="91"/>
      <c r="K38" s="91"/>
      <c r="L38" s="91"/>
      <c r="M38" s="91"/>
      <c r="N38" s="91"/>
      <c r="O38" s="91"/>
      <c r="P38" s="91"/>
    </row>
    <row r="39" spans="1:16" x14ac:dyDescent="0.25">
      <c r="A39" s="91"/>
      <c r="F39" s="91"/>
      <c r="G39" s="91"/>
      <c r="H39" s="91"/>
      <c r="I39" s="91"/>
      <c r="J39" s="91"/>
      <c r="K39" s="91"/>
      <c r="L39" s="91"/>
      <c r="M39" s="91"/>
      <c r="N39" s="91"/>
      <c r="O39" s="91"/>
      <c r="P39" s="91"/>
    </row>
    <row r="40" spans="1:16" x14ac:dyDescent="0.25">
      <c r="A40" s="91"/>
      <c r="F40" s="91"/>
      <c r="G40" s="91"/>
      <c r="H40" s="91"/>
      <c r="I40" s="91"/>
      <c r="J40" s="91"/>
      <c r="K40" s="91"/>
      <c r="L40" s="91"/>
      <c r="M40" s="91"/>
      <c r="N40" s="91"/>
      <c r="O40" s="91"/>
      <c r="P40" s="91"/>
    </row>
  </sheetData>
  <mergeCells count="1">
    <mergeCell ref="B7:M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B1:Q65"/>
  <sheetViews>
    <sheetView showGridLines="0" zoomScaleNormal="100" workbookViewId="0"/>
  </sheetViews>
  <sheetFormatPr defaultRowHeight="12.75" x14ac:dyDescent="0.25"/>
  <cols>
    <col min="1" max="2" width="4.7109375" style="3" customWidth="1"/>
    <col min="3" max="3" width="37.7109375" style="3" customWidth="1"/>
    <col min="4" max="4" width="18.28515625" style="3" customWidth="1"/>
    <col min="5" max="5" width="17.85546875" style="3" customWidth="1"/>
    <col min="6" max="6" width="22.7109375" style="3" customWidth="1"/>
    <col min="7" max="7" width="16" style="3" customWidth="1"/>
    <col min="8" max="8" width="20.140625" style="3" customWidth="1"/>
    <col min="9" max="9" width="15.28515625" style="3" customWidth="1"/>
    <col min="10" max="10" width="16.140625" style="3" customWidth="1"/>
    <col min="11" max="11" width="13.140625" style="3" bestFit="1" customWidth="1"/>
    <col min="12" max="12" width="15.28515625" style="3" customWidth="1"/>
    <col min="13" max="13" width="13.7109375" style="3" bestFit="1" customWidth="1"/>
    <col min="14" max="16384" width="9.140625" style="3"/>
  </cols>
  <sheetData>
    <row r="1" spans="3:17" ht="15" customHeight="1" x14ac:dyDescent="0.25"/>
    <row r="2" spans="3:17" ht="18" x14ac:dyDescent="0.25">
      <c r="C2" s="23" t="s">
        <v>33</v>
      </c>
    </row>
    <row r="3" spans="3:17" ht="18.75" thickBot="1" x14ac:dyDescent="0.3">
      <c r="C3" s="2" t="s">
        <v>39</v>
      </c>
      <c r="D3" s="2"/>
      <c r="E3" s="2"/>
    </row>
    <row r="4" spans="3:17" ht="15" customHeight="1" x14ac:dyDescent="0.25">
      <c r="C4" s="3" t="s">
        <v>20</v>
      </c>
      <c r="D4" s="2"/>
      <c r="E4" s="2"/>
      <c r="F4" s="40" t="s">
        <v>95</v>
      </c>
      <c r="G4" s="47"/>
      <c r="H4" s="41"/>
      <c r="K4" s="60" t="s">
        <v>46</v>
      </c>
    </row>
    <row r="5" spans="3:17" ht="15" customHeight="1" thickBot="1" x14ac:dyDescent="0.3">
      <c r="C5" s="2"/>
      <c r="D5" s="2"/>
      <c r="E5" s="2"/>
      <c r="F5" s="42" t="s">
        <v>96</v>
      </c>
      <c r="G5" s="48"/>
      <c r="H5" s="43"/>
      <c r="K5" s="3" t="s">
        <v>47</v>
      </c>
    </row>
    <row r="6" spans="3:17" ht="15" customHeight="1" thickBot="1" x14ac:dyDescent="0.3">
      <c r="C6" s="5" t="s">
        <v>21</v>
      </c>
      <c r="D6" s="4"/>
      <c r="K6" s="3" t="s">
        <v>49</v>
      </c>
    </row>
    <row r="7" spans="3:17" ht="15" customHeight="1" thickBot="1" x14ac:dyDescent="0.3">
      <c r="F7" s="49" t="s">
        <v>32</v>
      </c>
      <c r="G7" s="50"/>
      <c r="H7" s="51"/>
      <c r="I7" s="67" t="s">
        <v>36</v>
      </c>
      <c r="K7" s="25" t="s">
        <v>48</v>
      </c>
    </row>
    <row r="8" spans="3:17" ht="15" customHeight="1" thickBot="1" x14ac:dyDescent="0.3">
      <c r="C8" s="18" t="s">
        <v>123</v>
      </c>
      <c r="D8" s="31">
        <v>4</v>
      </c>
      <c r="E8" s="25" t="s">
        <v>23</v>
      </c>
      <c r="K8" s="25" t="s">
        <v>51</v>
      </c>
    </row>
    <row r="9" spans="3:17" ht="15" customHeight="1" thickBot="1" x14ac:dyDescent="0.3">
      <c r="F9" s="35" t="s">
        <v>58</v>
      </c>
      <c r="G9" s="45"/>
      <c r="H9" s="36"/>
      <c r="I9" s="37" t="s">
        <v>36</v>
      </c>
      <c r="K9" s="25" t="s">
        <v>129</v>
      </c>
    </row>
    <row r="10" spans="3:17" ht="15" customHeight="1" thickBot="1" x14ac:dyDescent="0.3">
      <c r="C10" s="110" t="s">
        <v>25</v>
      </c>
      <c r="F10" s="52" t="s">
        <v>50</v>
      </c>
      <c r="G10" s="46"/>
      <c r="H10" s="38"/>
      <c r="I10" s="39" t="s">
        <v>36</v>
      </c>
      <c r="K10" s="25" t="s">
        <v>52</v>
      </c>
      <c r="O10" s="7"/>
      <c r="P10" s="7"/>
      <c r="Q10" s="7"/>
    </row>
    <row r="11" spans="3:17" ht="15" customHeight="1" thickBot="1" x14ac:dyDescent="0.3">
      <c r="F11" s="73" t="s">
        <v>35</v>
      </c>
      <c r="G11" s="55"/>
      <c r="H11" s="56"/>
      <c r="I11" s="53" t="s">
        <v>36</v>
      </c>
      <c r="K11" s="3" t="s">
        <v>54</v>
      </c>
      <c r="N11" s="7"/>
      <c r="O11" s="7"/>
      <c r="P11" s="7"/>
      <c r="Q11" s="7"/>
    </row>
    <row r="12" spans="3:17" ht="15" customHeight="1" thickBot="1" x14ac:dyDescent="0.3">
      <c r="C12" s="30" t="s">
        <v>124</v>
      </c>
      <c r="D12" s="32">
        <v>0.15</v>
      </c>
      <c r="E12" s="25" t="s">
        <v>24</v>
      </c>
      <c r="K12" s="25" t="s">
        <v>53</v>
      </c>
      <c r="N12" s="7"/>
      <c r="O12" s="7"/>
      <c r="P12" s="7"/>
      <c r="Q12" s="7"/>
    </row>
    <row r="13" spans="3:17" ht="15" customHeight="1" thickBot="1" x14ac:dyDescent="0.3">
      <c r="C13" s="21" t="s">
        <v>125</v>
      </c>
      <c r="D13" s="33">
        <v>1</v>
      </c>
      <c r="E13" s="25" t="s">
        <v>30</v>
      </c>
      <c r="F13" s="49" t="s">
        <v>128</v>
      </c>
      <c r="G13" s="50"/>
      <c r="H13" s="51"/>
      <c r="I13" s="31">
        <v>1</v>
      </c>
      <c r="J13" s="25" t="s">
        <v>30</v>
      </c>
      <c r="K13" s="3" t="s">
        <v>55</v>
      </c>
      <c r="N13" s="7"/>
      <c r="O13" s="7"/>
      <c r="P13" s="7"/>
      <c r="Q13" s="7"/>
    </row>
    <row r="14" spans="3:17" ht="15" customHeight="1" thickBot="1" x14ac:dyDescent="0.3">
      <c r="C14" s="27" t="s">
        <v>28</v>
      </c>
      <c r="D14" s="28">
        <f>33000*SQRT(D8)*(D12^1.5)*D13</f>
        <v>3834.253512745343</v>
      </c>
      <c r="E14" s="25" t="s">
        <v>26</v>
      </c>
      <c r="K14" s="25" t="s">
        <v>56</v>
      </c>
      <c r="N14" s="7"/>
      <c r="O14" s="7"/>
      <c r="P14" s="7"/>
      <c r="Q14" s="7"/>
    </row>
    <row r="15" spans="3:17" ht="15" customHeight="1" thickBot="1" x14ac:dyDescent="0.3">
      <c r="C15" s="26" t="s">
        <v>29</v>
      </c>
      <c r="D15" s="24">
        <f>1820*SQRT(D8)</f>
        <v>3640</v>
      </c>
      <c r="E15" s="25" t="s">
        <v>27</v>
      </c>
      <c r="F15" s="40" t="s">
        <v>97</v>
      </c>
      <c r="G15" s="47"/>
      <c r="H15" s="41"/>
      <c r="K15" s="25" t="s">
        <v>57</v>
      </c>
      <c r="N15" s="7"/>
      <c r="O15" s="7"/>
      <c r="P15" s="7"/>
      <c r="Q15" s="7"/>
    </row>
    <row r="16" spans="3:17" ht="15" customHeight="1" thickBot="1" x14ac:dyDescent="0.3">
      <c r="C16" s="29" t="s">
        <v>31</v>
      </c>
      <c r="D16" s="34">
        <v>1</v>
      </c>
      <c r="F16" s="42" t="s">
        <v>96</v>
      </c>
      <c r="G16" s="48"/>
      <c r="H16" s="43"/>
      <c r="K16" s="3" t="s">
        <v>130</v>
      </c>
      <c r="N16" s="7"/>
      <c r="O16" s="7"/>
      <c r="P16" s="7"/>
      <c r="Q16" s="7"/>
    </row>
    <row r="17" spans="3:17" ht="15" customHeight="1" thickBot="1" x14ac:dyDescent="0.3">
      <c r="C17" s="26" t="s">
        <v>126</v>
      </c>
      <c r="D17" s="61">
        <f>IF(D16=1,D14,D15)</f>
        <v>3834.253512745343</v>
      </c>
      <c r="K17" s="3" t="s">
        <v>119</v>
      </c>
      <c r="O17" s="7"/>
      <c r="P17" s="7"/>
      <c r="Q17" s="7"/>
    </row>
    <row r="18" spans="3:17" ht="15" customHeight="1" thickBot="1" x14ac:dyDescent="0.3">
      <c r="F18" s="177" t="s">
        <v>38</v>
      </c>
      <c r="G18" s="178"/>
      <c r="H18" s="179"/>
      <c r="I18" s="175" t="s">
        <v>36</v>
      </c>
      <c r="O18" s="7"/>
      <c r="P18" s="7"/>
      <c r="Q18" s="7"/>
    </row>
    <row r="19" spans="3:17" ht="15" customHeight="1" thickBot="1" x14ac:dyDescent="0.3">
      <c r="C19" s="20" t="s">
        <v>22</v>
      </c>
      <c r="F19" s="180"/>
      <c r="G19" s="181"/>
      <c r="H19" s="182"/>
      <c r="I19" s="176"/>
      <c r="O19" s="7"/>
      <c r="P19" s="7"/>
      <c r="Q19" s="7"/>
    </row>
    <row r="20" spans="3:17" ht="15" customHeight="1" thickBot="1" x14ac:dyDescent="0.3">
      <c r="O20" s="7"/>
      <c r="P20" s="7"/>
      <c r="Q20" s="7"/>
    </row>
    <row r="21" spans="3:17" ht="15" customHeight="1" thickBot="1" x14ac:dyDescent="0.3">
      <c r="C21" s="49" t="s">
        <v>127</v>
      </c>
      <c r="D21" s="31">
        <v>60</v>
      </c>
      <c r="E21" s="25" t="s">
        <v>37</v>
      </c>
      <c r="F21" s="54" t="s">
        <v>141</v>
      </c>
      <c r="G21" s="50"/>
      <c r="H21" s="51"/>
      <c r="I21" s="31">
        <v>1</v>
      </c>
    </row>
    <row r="22" spans="3:17" ht="15" customHeight="1" x14ac:dyDescent="0.25"/>
    <row r="23" spans="3:17" ht="15" customHeight="1" thickBot="1" x14ac:dyDescent="0.3"/>
    <row r="24" spans="3:17" ht="15" customHeight="1" thickBot="1" x14ac:dyDescent="0.3">
      <c r="C24" s="6" t="s">
        <v>41</v>
      </c>
      <c r="D24" s="9"/>
      <c r="E24" s="9"/>
    </row>
    <row r="25" spans="3:17" ht="15" customHeight="1" x14ac:dyDescent="0.25">
      <c r="C25" s="163" t="s">
        <v>0</v>
      </c>
      <c r="D25" s="167" t="s">
        <v>40</v>
      </c>
      <c r="E25" s="183" t="s">
        <v>44</v>
      </c>
      <c r="F25" s="169" t="s">
        <v>98</v>
      </c>
      <c r="G25" s="171" t="s">
        <v>43</v>
      </c>
      <c r="H25" s="171"/>
      <c r="I25" s="172"/>
    </row>
    <row r="26" spans="3:17" ht="15" customHeight="1" thickBot="1" x14ac:dyDescent="0.3">
      <c r="C26" s="164"/>
      <c r="D26" s="168"/>
      <c r="E26" s="184"/>
      <c r="F26" s="170"/>
      <c r="G26" s="127" t="s">
        <v>99</v>
      </c>
      <c r="H26" s="128" t="s">
        <v>100</v>
      </c>
      <c r="I26" s="129" t="s">
        <v>101</v>
      </c>
    </row>
    <row r="27" spans="3:17" ht="15" customHeight="1" x14ac:dyDescent="0.25">
      <c r="C27" s="152" t="s">
        <v>1</v>
      </c>
      <c r="D27" s="151">
        <f>IF(0.4*K42*$D$21 &gt; 1.25*L42*$D$21/SQRT($D$8), 0.4*K42*$D$21, 1.25*L42*$D$21/SQRT($D$8))</f>
        <v>9.0000000000000018</v>
      </c>
      <c r="E27" s="119">
        <f t="shared" ref="E27:E37" si="0">J42</f>
        <v>1</v>
      </c>
      <c r="F27" s="124">
        <f>IF(D27*E27&gt;12, ROUNDUP(D27*E27,0), 12)</f>
        <v>12</v>
      </c>
      <c r="G27" s="120">
        <f>IF(1*D27*E27&gt;12, ROUNDUP(1*D27*E27,0), 12)</f>
        <v>12</v>
      </c>
      <c r="H27" s="111">
        <f>IF(1.3*D27*E27&gt;12, ROUNDUP(1.3*D27*E27,0), 12)</f>
        <v>12</v>
      </c>
      <c r="I27" s="112">
        <f>IF(1.7*D27*E27&gt;12, ROUNDUP(1.7*D27*E27,0), 12)</f>
        <v>16</v>
      </c>
      <c r="P27" s="10"/>
    </row>
    <row r="28" spans="3:17" ht="15" customHeight="1" x14ac:dyDescent="0.25">
      <c r="C28" s="153" t="s">
        <v>2</v>
      </c>
      <c r="D28" s="146">
        <f t="shared" ref="D28:D35" si="1">IF(0.4*K43*$D$21 &gt; 1.25*L43*$D$21/SQRT($D$8), 0.4*K43*$D$21, 1.25*L43*$D$21/SQRT($D$8))</f>
        <v>12</v>
      </c>
      <c r="E28" s="86">
        <f t="shared" si="0"/>
        <v>1</v>
      </c>
      <c r="F28" s="125">
        <f t="shared" ref="F28:F37" si="2">IF(D28*E28&gt;12, ROUNDUP(D28*E28,0), 12)</f>
        <v>12</v>
      </c>
      <c r="G28" s="121">
        <f t="shared" ref="G28:G35" si="3">IF(1*D28*E28&gt;12, ROUNDUP(1*D28*E28,0), 12)</f>
        <v>12</v>
      </c>
      <c r="H28" s="113">
        <f t="shared" ref="H28:H35" si="4">IF(1.3*D28*E28&gt;12, ROUNDUP(1.3*D28*E28,0), 12)</f>
        <v>16</v>
      </c>
      <c r="I28" s="114">
        <f t="shared" ref="I28:I35" si="5">IF(1.7*D28*E28&gt;12, ROUNDUP(1.7*D28*E28,0), 12)</f>
        <v>21</v>
      </c>
    </row>
    <row r="29" spans="3:17" ht="15" customHeight="1" x14ac:dyDescent="0.25">
      <c r="C29" s="153" t="s">
        <v>3</v>
      </c>
      <c r="D29" s="146">
        <f t="shared" si="1"/>
        <v>15</v>
      </c>
      <c r="E29" s="86">
        <f t="shared" si="0"/>
        <v>1</v>
      </c>
      <c r="F29" s="125">
        <f t="shared" si="2"/>
        <v>15</v>
      </c>
      <c r="G29" s="121">
        <f t="shared" si="3"/>
        <v>15</v>
      </c>
      <c r="H29" s="113">
        <f t="shared" si="4"/>
        <v>20</v>
      </c>
      <c r="I29" s="114">
        <f t="shared" si="5"/>
        <v>26</v>
      </c>
    </row>
    <row r="30" spans="3:17" ht="15" customHeight="1" x14ac:dyDescent="0.25">
      <c r="C30" s="153" t="s">
        <v>4</v>
      </c>
      <c r="D30" s="146">
        <f t="shared" si="1"/>
        <v>18.000000000000004</v>
      </c>
      <c r="E30" s="86">
        <f t="shared" si="0"/>
        <v>1</v>
      </c>
      <c r="F30" s="125">
        <f t="shared" si="2"/>
        <v>18</v>
      </c>
      <c r="G30" s="121">
        <f t="shared" si="3"/>
        <v>18</v>
      </c>
      <c r="H30" s="113">
        <f t="shared" si="4"/>
        <v>24</v>
      </c>
      <c r="I30" s="114">
        <f t="shared" si="5"/>
        <v>31</v>
      </c>
    </row>
    <row r="31" spans="3:17" ht="15" customHeight="1" x14ac:dyDescent="0.25">
      <c r="C31" s="153" t="s">
        <v>5</v>
      </c>
      <c r="D31" s="146">
        <f t="shared" si="1"/>
        <v>22.5</v>
      </c>
      <c r="E31" s="86">
        <f t="shared" si="0"/>
        <v>1</v>
      </c>
      <c r="F31" s="125">
        <f t="shared" si="2"/>
        <v>23</v>
      </c>
      <c r="G31" s="121">
        <f t="shared" si="3"/>
        <v>23</v>
      </c>
      <c r="H31" s="113">
        <f t="shared" si="4"/>
        <v>30</v>
      </c>
      <c r="I31" s="114">
        <f t="shared" si="5"/>
        <v>39</v>
      </c>
    </row>
    <row r="32" spans="3:17" ht="15" customHeight="1" x14ac:dyDescent="0.25">
      <c r="C32" s="153" t="s">
        <v>6</v>
      </c>
      <c r="D32" s="146">
        <f t="shared" si="1"/>
        <v>29.625</v>
      </c>
      <c r="E32" s="86">
        <f t="shared" si="0"/>
        <v>1</v>
      </c>
      <c r="F32" s="125">
        <f t="shared" si="2"/>
        <v>30</v>
      </c>
      <c r="G32" s="121">
        <f t="shared" si="3"/>
        <v>30</v>
      </c>
      <c r="H32" s="113">
        <f t="shared" si="4"/>
        <v>39</v>
      </c>
      <c r="I32" s="114">
        <f t="shared" si="5"/>
        <v>51</v>
      </c>
    </row>
    <row r="33" spans="3:17" ht="15" customHeight="1" x14ac:dyDescent="0.25">
      <c r="C33" s="153" t="s">
        <v>7</v>
      </c>
      <c r="D33" s="146">
        <f t="shared" si="1"/>
        <v>37.5</v>
      </c>
      <c r="E33" s="86">
        <f t="shared" si="0"/>
        <v>1</v>
      </c>
      <c r="F33" s="125">
        <f t="shared" si="2"/>
        <v>38</v>
      </c>
      <c r="G33" s="121">
        <f t="shared" si="3"/>
        <v>38</v>
      </c>
      <c r="H33" s="113">
        <f t="shared" si="4"/>
        <v>49</v>
      </c>
      <c r="I33" s="114">
        <f t="shared" si="5"/>
        <v>64</v>
      </c>
    </row>
    <row r="34" spans="3:17" ht="15" customHeight="1" x14ac:dyDescent="0.25">
      <c r="C34" s="153" t="s">
        <v>8</v>
      </c>
      <c r="D34" s="146">
        <f t="shared" si="1"/>
        <v>47.625</v>
      </c>
      <c r="E34" s="86">
        <f t="shared" si="0"/>
        <v>1</v>
      </c>
      <c r="F34" s="125">
        <f t="shared" si="2"/>
        <v>48</v>
      </c>
      <c r="G34" s="121">
        <f t="shared" si="3"/>
        <v>48</v>
      </c>
      <c r="H34" s="113">
        <f t="shared" si="4"/>
        <v>62</v>
      </c>
      <c r="I34" s="114">
        <f t="shared" si="5"/>
        <v>81</v>
      </c>
    </row>
    <row r="35" spans="3:17" ht="15" customHeight="1" x14ac:dyDescent="0.25">
      <c r="C35" s="153" t="s">
        <v>9</v>
      </c>
      <c r="D35" s="146">
        <f t="shared" si="1"/>
        <v>58.500000000000007</v>
      </c>
      <c r="E35" s="86">
        <f t="shared" si="0"/>
        <v>1</v>
      </c>
      <c r="F35" s="125">
        <f t="shared" si="2"/>
        <v>59</v>
      </c>
      <c r="G35" s="121">
        <f t="shared" si="3"/>
        <v>59</v>
      </c>
      <c r="H35" s="113">
        <f t="shared" si="4"/>
        <v>77</v>
      </c>
      <c r="I35" s="114">
        <f t="shared" si="5"/>
        <v>100</v>
      </c>
      <c r="Q35" s="7"/>
    </row>
    <row r="36" spans="3:17" ht="15" customHeight="1" x14ac:dyDescent="0.25">
      <c r="C36" s="153" t="s">
        <v>10</v>
      </c>
      <c r="D36" s="146">
        <f>2.7*$D$21/SQRT($D$8)</f>
        <v>81</v>
      </c>
      <c r="E36" s="86">
        <f t="shared" si="0"/>
        <v>1</v>
      </c>
      <c r="F36" s="125">
        <f t="shared" si="2"/>
        <v>81</v>
      </c>
      <c r="G36" s="122" t="s">
        <v>18</v>
      </c>
      <c r="H36" s="115" t="s">
        <v>18</v>
      </c>
      <c r="I36" s="116" t="s">
        <v>18</v>
      </c>
      <c r="Q36" s="7"/>
    </row>
    <row r="37" spans="3:17" ht="15" customHeight="1" thickBot="1" x14ac:dyDescent="0.3">
      <c r="C37" s="154" t="s">
        <v>11</v>
      </c>
      <c r="D37" s="147">
        <f>3.5*$D$21/SQRT($D$8)</f>
        <v>105</v>
      </c>
      <c r="E37" s="87">
        <f t="shared" si="0"/>
        <v>1</v>
      </c>
      <c r="F37" s="126">
        <f t="shared" si="2"/>
        <v>105</v>
      </c>
      <c r="G37" s="123" t="s">
        <v>18</v>
      </c>
      <c r="H37" s="117" t="s">
        <v>18</v>
      </c>
      <c r="I37" s="118" t="s">
        <v>18</v>
      </c>
      <c r="Q37" s="7"/>
    </row>
    <row r="38" spans="3:17" ht="15" customHeight="1" thickBot="1" x14ac:dyDescent="0.3"/>
    <row r="39" spans="3:17" ht="15" customHeight="1" thickBot="1" x14ac:dyDescent="0.3">
      <c r="C39" s="6" t="s">
        <v>42</v>
      </c>
      <c r="D39" s="1"/>
      <c r="E39" s="1"/>
    </row>
    <row r="40" spans="3:17" ht="15" customHeight="1" x14ac:dyDescent="0.25">
      <c r="C40" s="173" t="s">
        <v>0</v>
      </c>
      <c r="D40" s="165" t="s">
        <v>14</v>
      </c>
      <c r="E40" s="165" t="s">
        <v>15</v>
      </c>
      <c r="F40" s="187" t="s">
        <v>16</v>
      </c>
      <c r="G40" s="187" t="s">
        <v>117</v>
      </c>
      <c r="H40" s="187" t="s">
        <v>17</v>
      </c>
      <c r="I40" s="187" t="s">
        <v>118</v>
      </c>
      <c r="J40" s="189" t="s">
        <v>45</v>
      </c>
      <c r="K40" s="165" t="s">
        <v>12</v>
      </c>
      <c r="L40" s="165" t="s">
        <v>19</v>
      </c>
      <c r="M40" s="185" t="s">
        <v>13</v>
      </c>
    </row>
    <row r="41" spans="3:17" ht="15" customHeight="1" thickBot="1" x14ac:dyDescent="0.3">
      <c r="C41" s="174"/>
      <c r="D41" s="166"/>
      <c r="E41" s="166"/>
      <c r="F41" s="188"/>
      <c r="G41" s="188"/>
      <c r="H41" s="188"/>
      <c r="I41" s="188"/>
      <c r="J41" s="190"/>
      <c r="K41" s="166"/>
      <c r="L41" s="166"/>
      <c r="M41" s="186"/>
    </row>
    <row r="42" spans="3:17" ht="15" customHeight="1" x14ac:dyDescent="0.25">
      <c r="C42" s="11" t="s">
        <v>1</v>
      </c>
      <c r="D42" s="57">
        <f t="shared" ref="D42:D52" si="6">IF($I$7="Y", 1.4, 1)</f>
        <v>1</v>
      </c>
      <c r="E42" s="58">
        <f t="shared" ref="E42:E52" si="7">IF(AND($I$9="Y", OR($I$10="Y",$I$11="Y")), 1.5, IF($I$9="Y", 1.2, 1))</f>
        <v>1</v>
      </c>
      <c r="F42" s="58">
        <f>IF(D42*E42&lt;1.7, D42*E42, 1.7)</f>
        <v>1</v>
      </c>
      <c r="G42" s="57">
        <f>$I$13</f>
        <v>1</v>
      </c>
      <c r="H42" s="58">
        <f t="shared" ref="H42:H52" si="8">IF($I$18="Y", 0.8, 1)</f>
        <v>1</v>
      </c>
      <c r="I42" s="57">
        <f>$I$21</f>
        <v>1</v>
      </c>
      <c r="J42" s="62">
        <f>F42*G42*H42*I42</f>
        <v>1</v>
      </c>
      <c r="K42" s="12">
        <v>0.375</v>
      </c>
      <c r="L42" s="19">
        <v>0.11</v>
      </c>
      <c r="M42" s="13">
        <v>0.376</v>
      </c>
    </row>
    <row r="43" spans="3:17" ht="15" customHeight="1" x14ac:dyDescent="0.25">
      <c r="C43" s="11" t="s">
        <v>2</v>
      </c>
      <c r="D43" s="57">
        <f t="shared" si="6"/>
        <v>1</v>
      </c>
      <c r="E43" s="57">
        <f t="shared" si="7"/>
        <v>1</v>
      </c>
      <c r="F43" s="57">
        <f t="shared" ref="F43:F52" si="9">IF(D43*E43&lt;1.7, D43*E43, 1.7)</f>
        <v>1</v>
      </c>
      <c r="G43" s="57">
        <f>$I$13</f>
        <v>1</v>
      </c>
      <c r="H43" s="57">
        <f t="shared" si="8"/>
        <v>1</v>
      </c>
      <c r="I43" s="57">
        <f>$I$21</f>
        <v>1</v>
      </c>
      <c r="J43" s="63">
        <f>F43*G43*H43*I43</f>
        <v>1</v>
      </c>
      <c r="K43" s="12">
        <v>0.5</v>
      </c>
      <c r="L43" s="19">
        <v>0.2</v>
      </c>
      <c r="M43" s="13">
        <v>0.66800000000000004</v>
      </c>
    </row>
    <row r="44" spans="3:17" ht="15" customHeight="1" x14ac:dyDescent="0.25">
      <c r="C44" s="11" t="s">
        <v>3</v>
      </c>
      <c r="D44" s="57">
        <f t="shared" si="6"/>
        <v>1</v>
      </c>
      <c r="E44" s="57">
        <f t="shared" si="7"/>
        <v>1</v>
      </c>
      <c r="F44" s="57">
        <f t="shared" si="9"/>
        <v>1</v>
      </c>
      <c r="G44" s="57">
        <f t="shared" ref="G44:G51" si="10">$I$13</f>
        <v>1</v>
      </c>
      <c r="H44" s="57">
        <f t="shared" si="8"/>
        <v>1</v>
      </c>
      <c r="I44" s="57">
        <f t="shared" ref="I44:I51" si="11">$I$21</f>
        <v>1</v>
      </c>
      <c r="J44" s="63">
        <f t="shared" ref="J44:J51" si="12">F44*G44*H44*I44</f>
        <v>1</v>
      </c>
      <c r="K44" s="12">
        <v>0.625</v>
      </c>
      <c r="L44" s="19">
        <v>0.31</v>
      </c>
      <c r="M44" s="13">
        <v>1.0429999999999999</v>
      </c>
    </row>
    <row r="45" spans="3:17" ht="15" customHeight="1" x14ac:dyDescent="0.25">
      <c r="C45" s="11" t="s">
        <v>4</v>
      </c>
      <c r="D45" s="57">
        <f t="shared" si="6"/>
        <v>1</v>
      </c>
      <c r="E45" s="57">
        <f t="shared" si="7"/>
        <v>1</v>
      </c>
      <c r="F45" s="57">
        <f t="shared" si="9"/>
        <v>1</v>
      </c>
      <c r="G45" s="57">
        <f t="shared" si="10"/>
        <v>1</v>
      </c>
      <c r="H45" s="57">
        <f t="shared" si="8"/>
        <v>1</v>
      </c>
      <c r="I45" s="57">
        <f t="shared" si="11"/>
        <v>1</v>
      </c>
      <c r="J45" s="63">
        <f t="shared" si="12"/>
        <v>1</v>
      </c>
      <c r="K45" s="12">
        <v>0.75</v>
      </c>
      <c r="L45" s="19">
        <v>0.44</v>
      </c>
      <c r="M45" s="13">
        <v>1.502</v>
      </c>
    </row>
    <row r="46" spans="3:17" ht="15" customHeight="1" x14ac:dyDescent="0.25">
      <c r="C46" s="11" t="s">
        <v>5</v>
      </c>
      <c r="D46" s="57">
        <f t="shared" si="6"/>
        <v>1</v>
      </c>
      <c r="E46" s="57">
        <f t="shared" si="7"/>
        <v>1</v>
      </c>
      <c r="F46" s="57">
        <f t="shared" si="9"/>
        <v>1</v>
      </c>
      <c r="G46" s="57">
        <f t="shared" si="10"/>
        <v>1</v>
      </c>
      <c r="H46" s="57">
        <f t="shared" si="8"/>
        <v>1</v>
      </c>
      <c r="I46" s="57">
        <f t="shared" si="11"/>
        <v>1</v>
      </c>
      <c r="J46" s="63">
        <f t="shared" si="12"/>
        <v>1</v>
      </c>
      <c r="K46" s="12">
        <v>0.875</v>
      </c>
      <c r="L46" s="19">
        <v>0.6</v>
      </c>
      <c r="M46" s="13">
        <v>2.044</v>
      </c>
    </row>
    <row r="47" spans="3:17" ht="15" customHeight="1" x14ac:dyDescent="0.25">
      <c r="C47" s="11" t="s">
        <v>6</v>
      </c>
      <c r="D47" s="57">
        <f t="shared" si="6"/>
        <v>1</v>
      </c>
      <c r="E47" s="57">
        <f t="shared" si="7"/>
        <v>1</v>
      </c>
      <c r="F47" s="57">
        <f t="shared" si="9"/>
        <v>1</v>
      </c>
      <c r="G47" s="57">
        <f t="shared" si="10"/>
        <v>1</v>
      </c>
      <c r="H47" s="57">
        <f t="shared" si="8"/>
        <v>1</v>
      </c>
      <c r="I47" s="57">
        <f t="shared" si="11"/>
        <v>1</v>
      </c>
      <c r="J47" s="63">
        <f t="shared" si="12"/>
        <v>1</v>
      </c>
      <c r="K47" s="12">
        <v>1</v>
      </c>
      <c r="L47" s="19">
        <v>0.79</v>
      </c>
      <c r="M47" s="13">
        <v>2.67</v>
      </c>
    </row>
    <row r="48" spans="3:17" ht="15" customHeight="1" x14ac:dyDescent="0.25">
      <c r="C48" s="11" t="s">
        <v>7</v>
      </c>
      <c r="D48" s="57">
        <f t="shared" si="6"/>
        <v>1</v>
      </c>
      <c r="E48" s="57">
        <f t="shared" si="7"/>
        <v>1</v>
      </c>
      <c r="F48" s="57">
        <f t="shared" si="9"/>
        <v>1</v>
      </c>
      <c r="G48" s="57">
        <f t="shared" si="10"/>
        <v>1</v>
      </c>
      <c r="H48" s="57">
        <f t="shared" si="8"/>
        <v>1</v>
      </c>
      <c r="I48" s="57">
        <f t="shared" si="11"/>
        <v>1</v>
      </c>
      <c r="J48" s="63">
        <f t="shared" si="12"/>
        <v>1</v>
      </c>
      <c r="K48" s="12">
        <v>1.1279999999999999</v>
      </c>
      <c r="L48" s="19">
        <v>1</v>
      </c>
      <c r="M48" s="13">
        <v>3.4</v>
      </c>
    </row>
    <row r="49" spans="2:13" ht="15" customHeight="1" x14ac:dyDescent="0.25">
      <c r="C49" s="11" t="s">
        <v>8</v>
      </c>
      <c r="D49" s="57">
        <f t="shared" si="6"/>
        <v>1</v>
      </c>
      <c r="E49" s="57">
        <f t="shared" si="7"/>
        <v>1</v>
      </c>
      <c r="F49" s="57">
        <f t="shared" si="9"/>
        <v>1</v>
      </c>
      <c r="G49" s="57">
        <f t="shared" si="10"/>
        <v>1</v>
      </c>
      <c r="H49" s="57">
        <f t="shared" si="8"/>
        <v>1</v>
      </c>
      <c r="I49" s="57">
        <f t="shared" si="11"/>
        <v>1</v>
      </c>
      <c r="J49" s="63">
        <f t="shared" si="12"/>
        <v>1</v>
      </c>
      <c r="K49" s="12">
        <v>1.27</v>
      </c>
      <c r="L49" s="19">
        <v>1.27</v>
      </c>
      <c r="M49" s="13">
        <v>4.3029999999999999</v>
      </c>
    </row>
    <row r="50" spans="2:13" ht="15" customHeight="1" x14ac:dyDescent="0.25">
      <c r="C50" s="11" t="s">
        <v>9</v>
      </c>
      <c r="D50" s="57">
        <f t="shared" si="6"/>
        <v>1</v>
      </c>
      <c r="E50" s="57">
        <f t="shared" si="7"/>
        <v>1</v>
      </c>
      <c r="F50" s="57">
        <f t="shared" si="9"/>
        <v>1</v>
      </c>
      <c r="G50" s="57">
        <f t="shared" si="10"/>
        <v>1</v>
      </c>
      <c r="H50" s="57">
        <f t="shared" si="8"/>
        <v>1</v>
      </c>
      <c r="I50" s="57">
        <f t="shared" si="11"/>
        <v>1</v>
      </c>
      <c r="J50" s="63">
        <f t="shared" si="12"/>
        <v>1</v>
      </c>
      <c r="K50" s="12">
        <v>1.41</v>
      </c>
      <c r="L50" s="19">
        <v>1.56</v>
      </c>
      <c r="M50" s="13">
        <v>5.3129999999999997</v>
      </c>
    </row>
    <row r="51" spans="2:13" ht="15" customHeight="1" x14ac:dyDescent="0.25">
      <c r="C51" s="11" t="s">
        <v>10</v>
      </c>
      <c r="D51" s="57">
        <f t="shared" si="6"/>
        <v>1</v>
      </c>
      <c r="E51" s="57">
        <f t="shared" si="7"/>
        <v>1</v>
      </c>
      <c r="F51" s="57">
        <f t="shared" si="9"/>
        <v>1</v>
      </c>
      <c r="G51" s="57">
        <f t="shared" si="10"/>
        <v>1</v>
      </c>
      <c r="H51" s="57">
        <f t="shared" si="8"/>
        <v>1</v>
      </c>
      <c r="I51" s="57">
        <f t="shared" si="11"/>
        <v>1</v>
      </c>
      <c r="J51" s="63">
        <f t="shared" si="12"/>
        <v>1</v>
      </c>
      <c r="K51" s="12">
        <v>1.6930000000000001</v>
      </c>
      <c r="L51" s="19">
        <v>2.25</v>
      </c>
      <c r="M51" s="13">
        <v>7.65</v>
      </c>
    </row>
    <row r="52" spans="2:13" ht="15" customHeight="1" thickBot="1" x14ac:dyDescent="0.3">
      <c r="C52" s="14" t="s">
        <v>11</v>
      </c>
      <c r="D52" s="59">
        <f t="shared" si="6"/>
        <v>1</v>
      </c>
      <c r="E52" s="59">
        <f t="shared" si="7"/>
        <v>1</v>
      </c>
      <c r="F52" s="59">
        <f t="shared" si="9"/>
        <v>1</v>
      </c>
      <c r="G52" s="59">
        <f>$I$13</f>
        <v>1</v>
      </c>
      <c r="H52" s="59">
        <f t="shared" si="8"/>
        <v>1</v>
      </c>
      <c r="I52" s="59">
        <f>$I$21</f>
        <v>1</v>
      </c>
      <c r="J52" s="64">
        <f>F52*G52*H52*I52</f>
        <v>1</v>
      </c>
      <c r="K52" s="15">
        <v>2.2570000000000001</v>
      </c>
      <c r="L52" s="22">
        <v>4</v>
      </c>
      <c r="M52" s="16">
        <v>13.6</v>
      </c>
    </row>
    <row r="53" spans="2:13" ht="15" customHeight="1" x14ac:dyDescent="0.25">
      <c r="B53" s="44"/>
    </row>
    <row r="54" spans="2:13" ht="15" customHeight="1" x14ac:dyDescent="0.25">
      <c r="B54" s="44"/>
    </row>
    <row r="55" spans="2:13" ht="15" customHeight="1" x14ac:dyDescent="0.25">
      <c r="B55" s="44"/>
    </row>
    <row r="56" spans="2:13" ht="15" customHeight="1" x14ac:dyDescent="0.25">
      <c r="B56" s="44"/>
    </row>
    <row r="57" spans="2:13" ht="15" customHeight="1" x14ac:dyDescent="0.25">
      <c r="B57" s="44"/>
    </row>
    <row r="58" spans="2:13" ht="15" customHeight="1" x14ac:dyDescent="0.25">
      <c r="B58" s="44"/>
    </row>
    <row r="59" spans="2:13" ht="15" customHeight="1" x14ac:dyDescent="0.25">
      <c r="B59" s="44"/>
    </row>
    <row r="60" spans="2:13" ht="15" customHeight="1" x14ac:dyDescent="0.25"/>
    <row r="61" spans="2:13" ht="15" customHeight="1" x14ac:dyDescent="0.25"/>
    <row r="62" spans="2:13" ht="15" customHeight="1" x14ac:dyDescent="0.25"/>
    <row r="63" spans="2:13" ht="15" customHeight="1" x14ac:dyDescent="0.25"/>
    <row r="64" spans="2:13" ht="15" customHeight="1" x14ac:dyDescent="0.25"/>
    <row r="65" ht="15" customHeight="1" x14ac:dyDescent="0.25"/>
  </sheetData>
  <mergeCells count="18">
    <mergeCell ref="I18:I19"/>
    <mergeCell ref="F18:H19"/>
    <mergeCell ref="E25:E26"/>
    <mergeCell ref="M40:M41"/>
    <mergeCell ref="F40:F41"/>
    <mergeCell ref="H40:H41"/>
    <mergeCell ref="J40:J41"/>
    <mergeCell ref="I40:I41"/>
    <mergeCell ref="G40:G41"/>
    <mergeCell ref="C25:C26"/>
    <mergeCell ref="K40:K41"/>
    <mergeCell ref="L40:L41"/>
    <mergeCell ref="D25:D26"/>
    <mergeCell ref="F25:F26"/>
    <mergeCell ref="G25:I25"/>
    <mergeCell ref="C40:C41"/>
    <mergeCell ref="D40:D41"/>
    <mergeCell ref="E40:E41"/>
  </mergeCells>
  <conditionalFormatting sqref="I10:I11">
    <cfRule type="expression" dxfId="3" priority="1">
      <formula>$I$9="N"</formula>
    </cfRule>
  </conditionalFormatting>
  <pageMargins left="0.7" right="0.7" top="0.75" bottom="0.75" header="0.3" footer="0.3"/>
  <pageSetup paperSize="17" scale="7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U61"/>
  <sheetViews>
    <sheetView showGridLines="0" workbookViewId="0"/>
  </sheetViews>
  <sheetFormatPr defaultRowHeight="12.75" x14ac:dyDescent="0.25"/>
  <cols>
    <col min="1" max="2" width="4.7109375" style="3" customWidth="1"/>
    <col min="3" max="3" width="37.28515625" style="3" customWidth="1"/>
    <col min="4" max="4" width="20.28515625" style="3" customWidth="1"/>
    <col min="5" max="5" width="19.7109375" style="3" customWidth="1"/>
    <col min="6" max="6" width="24.85546875" style="3" customWidth="1"/>
    <col min="7" max="7" width="18.7109375" style="3" customWidth="1"/>
    <col min="8" max="8" width="16" style="3" customWidth="1"/>
    <col min="9" max="9" width="17.7109375" style="3" customWidth="1"/>
    <col min="10" max="10" width="14.5703125" style="3" customWidth="1"/>
    <col min="11" max="11" width="10.85546875" style="3" customWidth="1"/>
    <col min="12" max="12" width="13.140625" style="3" customWidth="1"/>
    <col min="13" max="13" width="15.28515625" style="3" customWidth="1"/>
    <col min="14" max="14" width="14.7109375" style="3" bestFit="1" customWidth="1"/>
    <col min="15" max="18" width="9.140625" style="3"/>
    <col min="19" max="19" width="11.140625" style="3" bestFit="1" customWidth="1"/>
    <col min="20" max="20" width="12.5703125" style="3" customWidth="1"/>
    <col min="21" max="16384" width="9.140625" style="3"/>
  </cols>
  <sheetData>
    <row r="1" spans="3:21" ht="15" customHeight="1" x14ac:dyDescent="0.25"/>
    <row r="2" spans="3:21" ht="18.75" thickBot="1" x14ac:dyDescent="0.3">
      <c r="C2" s="23" t="s">
        <v>132</v>
      </c>
      <c r="E2" s="2"/>
      <c r="K2" s="60" t="s">
        <v>46</v>
      </c>
    </row>
    <row r="3" spans="3:21" ht="18.75" thickBot="1" x14ac:dyDescent="0.3">
      <c r="C3" s="2" t="s">
        <v>39</v>
      </c>
      <c r="D3" s="2"/>
      <c r="F3" s="139" t="s">
        <v>105</v>
      </c>
      <c r="G3" s="140"/>
      <c r="H3" s="140"/>
      <c r="I3" s="141"/>
      <c r="K3" s="3" t="s">
        <v>138</v>
      </c>
    </row>
    <row r="4" spans="3:21" ht="15" customHeight="1" thickBot="1" x14ac:dyDescent="0.3">
      <c r="C4" s="3" t="s">
        <v>133</v>
      </c>
      <c r="D4" s="4"/>
      <c r="F4" s="85"/>
      <c r="G4" s="74"/>
      <c r="H4" s="74"/>
      <c r="I4" s="74"/>
      <c r="K4" s="25" t="s">
        <v>137</v>
      </c>
      <c r="R4" s="44"/>
      <c r="S4" s="44"/>
      <c r="T4" s="44"/>
      <c r="U4" s="44"/>
    </row>
    <row r="5" spans="3:21" ht="15" customHeight="1" thickBot="1" x14ac:dyDescent="0.3">
      <c r="C5" s="4"/>
      <c r="D5" s="4"/>
      <c r="F5" s="130" t="s">
        <v>102</v>
      </c>
      <c r="G5" s="131"/>
      <c r="H5" s="132"/>
      <c r="K5" s="3" t="s">
        <v>145</v>
      </c>
      <c r="R5" s="44"/>
      <c r="S5" s="83"/>
      <c r="T5" s="83"/>
      <c r="U5" s="44"/>
    </row>
    <row r="6" spans="3:21" ht="15" customHeight="1" thickBot="1" x14ac:dyDescent="0.3">
      <c r="C6" s="5" t="s">
        <v>21</v>
      </c>
      <c r="D6" s="4"/>
      <c r="E6" s="4"/>
      <c r="F6" s="69" t="s">
        <v>64</v>
      </c>
      <c r="G6" s="55"/>
      <c r="H6" s="56"/>
      <c r="I6" s="67" t="s">
        <v>36</v>
      </c>
      <c r="K6" s="3" t="s">
        <v>134</v>
      </c>
      <c r="R6" s="44"/>
      <c r="S6" s="44"/>
      <c r="T6" s="44"/>
      <c r="U6" s="44"/>
    </row>
    <row r="7" spans="3:21" ht="15" customHeight="1" thickBot="1" x14ac:dyDescent="0.3">
      <c r="K7" s="25" t="s">
        <v>112</v>
      </c>
      <c r="R7" s="44"/>
      <c r="S7" s="70"/>
      <c r="T7" s="84"/>
      <c r="U7" s="84"/>
    </row>
    <row r="8" spans="3:21" ht="15" customHeight="1" thickBot="1" x14ac:dyDescent="0.3">
      <c r="C8" s="18" t="s">
        <v>123</v>
      </c>
      <c r="D8" s="31">
        <v>4</v>
      </c>
      <c r="E8" s="68" t="s">
        <v>23</v>
      </c>
      <c r="F8" s="133" t="s">
        <v>68</v>
      </c>
      <c r="G8" s="134"/>
      <c r="H8" s="135"/>
      <c r="K8" s="3" t="s">
        <v>55</v>
      </c>
      <c r="R8" s="44"/>
      <c r="S8" s="70"/>
      <c r="T8" s="84"/>
      <c r="U8" s="84"/>
    </row>
    <row r="9" spans="3:21" ht="15" customHeight="1" thickBot="1" x14ac:dyDescent="0.3">
      <c r="F9" s="35" t="s">
        <v>103</v>
      </c>
      <c r="G9" s="45"/>
      <c r="H9" s="36"/>
      <c r="I9" s="37" t="s">
        <v>36</v>
      </c>
      <c r="K9" s="25" t="s">
        <v>56</v>
      </c>
      <c r="R9" s="44"/>
      <c r="S9" s="44"/>
      <c r="T9" s="44"/>
      <c r="U9" s="44"/>
    </row>
    <row r="10" spans="3:21" ht="15" customHeight="1" thickBot="1" x14ac:dyDescent="0.3">
      <c r="C10" s="5" t="s">
        <v>25</v>
      </c>
      <c r="F10" s="52" t="s">
        <v>50</v>
      </c>
      <c r="G10" s="46"/>
      <c r="H10" s="38"/>
      <c r="I10" s="39" t="s">
        <v>36</v>
      </c>
      <c r="K10" s="25" t="s">
        <v>57</v>
      </c>
    </row>
    <row r="11" spans="3:21" ht="15" customHeight="1" thickBot="1" x14ac:dyDescent="0.3">
      <c r="F11" s="73" t="s">
        <v>35</v>
      </c>
      <c r="G11" s="55"/>
      <c r="H11" s="56"/>
      <c r="I11" s="53" t="s">
        <v>36</v>
      </c>
      <c r="K11" s="3" t="s">
        <v>135</v>
      </c>
    </row>
    <row r="12" spans="3:21" ht="15" customHeight="1" thickBot="1" x14ac:dyDescent="0.3">
      <c r="C12" s="30" t="s">
        <v>124</v>
      </c>
      <c r="D12" s="32">
        <v>0.15</v>
      </c>
      <c r="E12" s="25" t="s">
        <v>24</v>
      </c>
      <c r="K12" s="25" t="s">
        <v>114</v>
      </c>
    </row>
    <row r="13" spans="3:21" ht="15" customHeight="1" thickBot="1" x14ac:dyDescent="0.3">
      <c r="C13" s="21" t="s">
        <v>125</v>
      </c>
      <c r="D13" s="33">
        <v>1</v>
      </c>
      <c r="E13" s="25" t="s">
        <v>30</v>
      </c>
      <c r="F13" s="130" t="s">
        <v>113</v>
      </c>
      <c r="G13" s="131"/>
      <c r="H13" s="132"/>
      <c r="K13" s="25" t="s">
        <v>115</v>
      </c>
    </row>
    <row r="14" spans="3:21" ht="15" customHeight="1" thickBot="1" x14ac:dyDescent="0.3">
      <c r="C14" s="27" t="s">
        <v>59</v>
      </c>
      <c r="D14" s="28">
        <f>120000*(D8^0.33)*(D12^2)*D13</f>
        <v>4266.223084062236</v>
      </c>
      <c r="E14" s="25" t="s">
        <v>26</v>
      </c>
      <c r="F14" s="49" t="s">
        <v>113</v>
      </c>
      <c r="G14" s="50"/>
      <c r="H14" s="51"/>
      <c r="I14" s="31">
        <v>1</v>
      </c>
      <c r="J14" s="25" t="s">
        <v>30</v>
      </c>
      <c r="K14" s="3" t="s">
        <v>139</v>
      </c>
    </row>
    <row r="15" spans="3:21" ht="15" customHeight="1" thickBot="1" x14ac:dyDescent="0.3">
      <c r="C15" s="26" t="s">
        <v>60</v>
      </c>
      <c r="D15" s="24">
        <f>2500*(D8^0.33)</f>
        <v>3950.2065593168854</v>
      </c>
      <c r="E15" s="25" t="s">
        <v>27</v>
      </c>
      <c r="K15" s="3" t="s">
        <v>140</v>
      </c>
    </row>
    <row r="16" spans="3:21" ht="15" customHeight="1" thickBot="1" x14ac:dyDescent="0.3">
      <c r="C16" s="27" t="s">
        <v>61</v>
      </c>
      <c r="D16" s="28">
        <f>33000*(D8^0.5)*(D12^1.5)*D13</f>
        <v>3834.253512745343</v>
      </c>
      <c r="E16" s="25" t="s">
        <v>27</v>
      </c>
      <c r="F16" s="139" t="s">
        <v>106</v>
      </c>
      <c r="G16" s="140"/>
      <c r="H16" s="140"/>
      <c r="I16" s="141"/>
      <c r="K16" s="3" t="s">
        <v>136</v>
      </c>
    </row>
    <row r="17" spans="3:16" ht="15" customHeight="1" thickBot="1" x14ac:dyDescent="0.3">
      <c r="C17" s="26" t="s">
        <v>62</v>
      </c>
      <c r="D17" s="24">
        <f>1820*(D8^0.5)</f>
        <v>3640</v>
      </c>
      <c r="E17" s="25" t="s">
        <v>27</v>
      </c>
      <c r="F17" s="85"/>
      <c r="G17" s="74"/>
      <c r="H17" s="74"/>
      <c r="N17" s="7"/>
    </row>
    <row r="18" spans="3:16" ht="15" customHeight="1" thickBot="1" x14ac:dyDescent="0.3">
      <c r="C18" s="29" t="s">
        <v>63</v>
      </c>
      <c r="D18" s="34">
        <v>1</v>
      </c>
      <c r="F18" s="136" t="s">
        <v>65</v>
      </c>
      <c r="G18" s="137"/>
      <c r="H18" s="138"/>
      <c r="K18" s="7"/>
      <c r="L18" s="1"/>
      <c r="N18" s="7"/>
    </row>
    <row r="19" spans="3:16" ht="15" customHeight="1" thickBot="1" x14ac:dyDescent="0.3">
      <c r="C19" s="26" t="s">
        <v>126</v>
      </c>
      <c r="D19" s="61">
        <f>IF(D18=1,D14,IF(D18=2,D15, IF(D18=3,D16,D17)))</f>
        <v>4266.223084062236</v>
      </c>
      <c r="F19" s="75" t="s">
        <v>66</v>
      </c>
      <c r="G19" s="76"/>
      <c r="H19" s="77"/>
      <c r="I19" s="66" t="s">
        <v>34</v>
      </c>
      <c r="J19" s="25" t="s">
        <v>147</v>
      </c>
      <c r="K19" s="142" t="s">
        <v>107</v>
      </c>
      <c r="L19" s="143"/>
      <c r="M19" s="143"/>
      <c r="N19" s="36"/>
      <c r="O19" s="32">
        <v>0.62</v>
      </c>
    </row>
    <row r="20" spans="3:16" ht="15" customHeight="1" thickBot="1" x14ac:dyDescent="0.3">
      <c r="C20" s="71"/>
      <c r="D20" s="72"/>
      <c r="F20" s="78" t="s">
        <v>142</v>
      </c>
      <c r="G20" s="79"/>
      <c r="H20" s="80"/>
      <c r="I20" s="81">
        <v>2.5</v>
      </c>
      <c r="K20" s="78" t="s">
        <v>108</v>
      </c>
      <c r="L20" s="79"/>
      <c r="M20" s="79"/>
      <c r="N20" s="38"/>
      <c r="O20" s="81">
        <v>3</v>
      </c>
    </row>
    <row r="21" spans="3:16" ht="15" customHeight="1" thickBot="1" x14ac:dyDescent="0.3">
      <c r="C21" s="20" t="s">
        <v>22</v>
      </c>
      <c r="D21" s="44"/>
      <c r="F21" s="78" t="s">
        <v>143</v>
      </c>
      <c r="G21" s="79"/>
      <c r="H21" s="80"/>
      <c r="I21" s="81">
        <v>6</v>
      </c>
      <c r="K21" s="78" t="s">
        <v>109</v>
      </c>
      <c r="L21" s="79"/>
      <c r="M21" s="79"/>
      <c r="N21" s="38"/>
      <c r="O21" s="82">
        <v>5</v>
      </c>
    </row>
    <row r="22" spans="3:16" ht="15" customHeight="1" thickBot="1" x14ac:dyDescent="0.3">
      <c r="D22" s="44"/>
      <c r="F22" s="78" t="s">
        <v>67</v>
      </c>
      <c r="G22" s="79"/>
      <c r="H22" s="80"/>
      <c r="I22" s="39" t="s">
        <v>36</v>
      </c>
      <c r="J22" s="25" t="s">
        <v>148</v>
      </c>
      <c r="K22" s="88" t="s">
        <v>110</v>
      </c>
      <c r="L22" s="89"/>
      <c r="M22" s="89"/>
      <c r="N22" s="144"/>
      <c r="O22" s="90">
        <f>IF(I22="Y",40*O19/(O20*O21),0)</f>
        <v>0</v>
      </c>
    </row>
    <row r="23" spans="3:16" ht="15" customHeight="1" thickBot="1" x14ac:dyDescent="0.3">
      <c r="C23" s="49" t="s">
        <v>127</v>
      </c>
      <c r="D23" s="31">
        <v>60</v>
      </c>
      <c r="E23" s="25" t="s">
        <v>37</v>
      </c>
      <c r="K23" s="25" t="s">
        <v>149</v>
      </c>
    </row>
    <row r="24" spans="3:16" ht="15" customHeight="1" thickBot="1" x14ac:dyDescent="0.3">
      <c r="F24" s="136" t="s">
        <v>104</v>
      </c>
      <c r="G24" s="131"/>
      <c r="H24" s="132"/>
      <c r="P24" s="10"/>
    </row>
    <row r="25" spans="3:16" ht="15" customHeight="1" thickBot="1" x14ac:dyDescent="0.3">
      <c r="C25" s="44"/>
      <c r="D25" s="44"/>
      <c r="F25" s="54" t="s">
        <v>144</v>
      </c>
      <c r="G25" s="50"/>
      <c r="H25" s="51"/>
      <c r="I25" s="31">
        <v>1</v>
      </c>
      <c r="P25" s="10"/>
    </row>
    <row r="26" spans="3:16" ht="15" customHeight="1" thickBot="1" x14ac:dyDescent="0.3"/>
    <row r="27" spans="3:16" ht="15" customHeight="1" thickBot="1" x14ac:dyDescent="0.3">
      <c r="C27" s="6" t="s">
        <v>41</v>
      </c>
      <c r="D27" s="2"/>
    </row>
    <row r="28" spans="3:16" ht="15" customHeight="1" x14ac:dyDescent="0.25">
      <c r="C28" s="163" t="s">
        <v>0</v>
      </c>
      <c r="D28" s="167" t="s">
        <v>40</v>
      </c>
      <c r="E28" s="183" t="s">
        <v>44</v>
      </c>
      <c r="F28" s="191" t="s">
        <v>120</v>
      </c>
      <c r="G28" s="169" t="s">
        <v>98</v>
      </c>
      <c r="H28" s="171" t="s">
        <v>43</v>
      </c>
      <c r="I28" s="172"/>
      <c r="K28" s="60" t="s">
        <v>146</v>
      </c>
    </row>
    <row r="29" spans="3:16" ht="15" customHeight="1" thickBot="1" x14ac:dyDescent="0.3">
      <c r="C29" s="164"/>
      <c r="D29" s="168"/>
      <c r="E29" s="184"/>
      <c r="F29" s="192"/>
      <c r="G29" s="170"/>
      <c r="H29" s="127" t="s">
        <v>99</v>
      </c>
      <c r="I29" s="129" t="s">
        <v>100</v>
      </c>
      <c r="K29" s="3" t="s">
        <v>72</v>
      </c>
    </row>
    <row r="30" spans="3:16" ht="15" customHeight="1" x14ac:dyDescent="0.25">
      <c r="C30" s="148" t="s">
        <v>1</v>
      </c>
      <c r="D30" s="145">
        <f t="shared" ref="D30:D40" si="0">2.4*K45*$D$23/SQRT($D$8)</f>
        <v>26.999999999999996</v>
      </c>
      <c r="E30" s="119">
        <f t="shared" ref="E30:E40" si="1">J45</f>
        <v>0.4</v>
      </c>
      <c r="F30" s="156">
        <f>IF(D30*E30&gt;12,D30*E30, 12)</f>
        <v>12</v>
      </c>
      <c r="G30" s="124">
        <f>ROUNDUP(F30,0)</f>
        <v>12</v>
      </c>
      <c r="H30" s="159">
        <f>G30</f>
        <v>12</v>
      </c>
      <c r="I30" s="112">
        <f>IF(1.3*G30&gt;12, ROUNDUP(1.3*G30,0), 12)</f>
        <v>16</v>
      </c>
      <c r="K30" s="3" t="s">
        <v>73</v>
      </c>
    </row>
    <row r="31" spans="3:16" ht="15" customHeight="1" x14ac:dyDescent="0.25">
      <c r="C31" s="149" t="s">
        <v>2</v>
      </c>
      <c r="D31" s="146">
        <f t="shared" si="0"/>
        <v>36</v>
      </c>
      <c r="E31" s="86">
        <f t="shared" si="1"/>
        <v>0.4</v>
      </c>
      <c r="F31" s="157">
        <f t="shared" ref="F31:F40" si="2">IF(D31*E31&gt;12,D31*E31, 12)</f>
        <v>14.4</v>
      </c>
      <c r="G31" s="125">
        <f t="shared" ref="G31:G40" si="3">ROUNDUP(F31,0)</f>
        <v>15</v>
      </c>
      <c r="H31" s="160">
        <f t="shared" ref="H31:H38" si="4">G31</f>
        <v>15</v>
      </c>
      <c r="I31" s="114">
        <f t="shared" ref="I31:I38" si="5">IF(1.3*G31&gt;12, ROUNDUP(1.3*G31,0), 12)</f>
        <v>20</v>
      </c>
      <c r="K31" s="25" t="s">
        <v>74</v>
      </c>
    </row>
    <row r="32" spans="3:16" ht="15" customHeight="1" x14ac:dyDescent="0.25">
      <c r="C32" s="149" t="s">
        <v>3</v>
      </c>
      <c r="D32" s="146">
        <f t="shared" si="0"/>
        <v>45</v>
      </c>
      <c r="E32" s="86">
        <f t="shared" si="1"/>
        <v>0.4</v>
      </c>
      <c r="F32" s="157">
        <f t="shared" si="2"/>
        <v>18</v>
      </c>
      <c r="G32" s="125">
        <f t="shared" si="3"/>
        <v>18</v>
      </c>
      <c r="H32" s="160">
        <f t="shared" si="4"/>
        <v>18</v>
      </c>
      <c r="I32" s="114">
        <f t="shared" si="5"/>
        <v>24</v>
      </c>
      <c r="K32" s="25" t="s">
        <v>75</v>
      </c>
    </row>
    <row r="33" spans="3:13" ht="15" customHeight="1" x14ac:dyDescent="0.25">
      <c r="C33" s="149" t="s">
        <v>4</v>
      </c>
      <c r="D33" s="146">
        <f t="shared" si="0"/>
        <v>53.999999999999993</v>
      </c>
      <c r="E33" s="86">
        <f t="shared" si="1"/>
        <v>0.4</v>
      </c>
      <c r="F33" s="157">
        <f t="shared" si="2"/>
        <v>21.599999999999998</v>
      </c>
      <c r="G33" s="125">
        <f t="shared" si="3"/>
        <v>22</v>
      </c>
      <c r="H33" s="160">
        <f t="shared" si="4"/>
        <v>22</v>
      </c>
      <c r="I33" s="114">
        <f t="shared" si="5"/>
        <v>29</v>
      </c>
      <c r="K33" s="25" t="s">
        <v>76</v>
      </c>
    </row>
    <row r="34" spans="3:13" ht="15" customHeight="1" x14ac:dyDescent="0.25">
      <c r="C34" s="149" t="s">
        <v>5</v>
      </c>
      <c r="D34" s="146">
        <f t="shared" si="0"/>
        <v>63</v>
      </c>
      <c r="E34" s="86">
        <f t="shared" si="1"/>
        <v>0.4</v>
      </c>
      <c r="F34" s="157">
        <f t="shared" si="2"/>
        <v>25.200000000000003</v>
      </c>
      <c r="G34" s="125">
        <f t="shared" si="3"/>
        <v>26</v>
      </c>
      <c r="H34" s="160">
        <f t="shared" si="4"/>
        <v>26</v>
      </c>
      <c r="I34" s="114">
        <f t="shared" si="5"/>
        <v>34</v>
      </c>
    </row>
    <row r="35" spans="3:13" ht="15" customHeight="1" x14ac:dyDescent="0.25">
      <c r="C35" s="149" t="s">
        <v>6</v>
      </c>
      <c r="D35" s="146">
        <f t="shared" si="0"/>
        <v>72</v>
      </c>
      <c r="E35" s="86">
        <f t="shared" si="1"/>
        <v>0.4</v>
      </c>
      <c r="F35" s="157">
        <f t="shared" si="2"/>
        <v>28.8</v>
      </c>
      <c r="G35" s="125">
        <f t="shared" si="3"/>
        <v>29</v>
      </c>
      <c r="H35" s="160">
        <f t="shared" si="4"/>
        <v>29</v>
      </c>
      <c r="I35" s="114">
        <f t="shared" si="5"/>
        <v>38</v>
      </c>
    </row>
    <row r="36" spans="3:13" ht="15" customHeight="1" x14ac:dyDescent="0.25">
      <c r="C36" s="149" t="s">
        <v>7</v>
      </c>
      <c r="D36" s="146">
        <f t="shared" si="0"/>
        <v>81.215999999999994</v>
      </c>
      <c r="E36" s="86">
        <f t="shared" si="1"/>
        <v>0.45119999999999993</v>
      </c>
      <c r="F36" s="157">
        <f t="shared" si="2"/>
        <v>36.644659199999992</v>
      </c>
      <c r="G36" s="125">
        <f t="shared" si="3"/>
        <v>37</v>
      </c>
      <c r="H36" s="160">
        <f t="shared" si="4"/>
        <v>37</v>
      </c>
      <c r="I36" s="114">
        <f t="shared" si="5"/>
        <v>49</v>
      </c>
    </row>
    <row r="37" spans="3:13" ht="15" customHeight="1" x14ac:dyDescent="0.25">
      <c r="C37" s="149" t="s">
        <v>8</v>
      </c>
      <c r="D37" s="146">
        <f t="shared" si="0"/>
        <v>91.44</v>
      </c>
      <c r="E37" s="86">
        <f t="shared" si="1"/>
        <v>0.50800000000000001</v>
      </c>
      <c r="F37" s="157">
        <f t="shared" si="2"/>
        <v>46.451520000000002</v>
      </c>
      <c r="G37" s="125">
        <f t="shared" si="3"/>
        <v>47</v>
      </c>
      <c r="H37" s="160">
        <f t="shared" si="4"/>
        <v>47</v>
      </c>
      <c r="I37" s="114">
        <f t="shared" si="5"/>
        <v>62</v>
      </c>
    </row>
    <row r="38" spans="3:13" ht="15" customHeight="1" x14ac:dyDescent="0.25">
      <c r="C38" s="149" t="s">
        <v>9</v>
      </c>
      <c r="D38" s="146">
        <f t="shared" si="0"/>
        <v>101.52</v>
      </c>
      <c r="E38" s="86">
        <f t="shared" si="1"/>
        <v>0.56399999999999995</v>
      </c>
      <c r="F38" s="157">
        <f t="shared" si="2"/>
        <v>57.257279999999994</v>
      </c>
      <c r="G38" s="125">
        <f t="shared" si="3"/>
        <v>58</v>
      </c>
      <c r="H38" s="160">
        <f t="shared" si="4"/>
        <v>58</v>
      </c>
      <c r="I38" s="114">
        <f t="shared" si="5"/>
        <v>76</v>
      </c>
    </row>
    <row r="39" spans="3:13" ht="15" customHeight="1" x14ac:dyDescent="0.25">
      <c r="C39" s="149" t="s">
        <v>10</v>
      </c>
      <c r="D39" s="146">
        <f t="shared" si="0"/>
        <v>121.896</v>
      </c>
      <c r="E39" s="86">
        <f t="shared" si="1"/>
        <v>0.67720000000000002</v>
      </c>
      <c r="F39" s="157">
        <f t="shared" si="2"/>
        <v>82.547971200000006</v>
      </c>
      <c r="G39" s="125">
        <f t="shared" si="3"/>
        <v>83</v>
      </c>
      <c r="H39" s="121" t="s">
        <v>18</v>
      </c>
      <c r="I39" s="114" t="s">
        <v>18</v>
      </c>
    </row>
    <row r="40" spans="3:13" ht="15" customHeight="1" thickBot="1" x14ac:dyDescent="0.3">
      <c r="C40" s="150" t="s">
        <v>11</v>
      </c>
      <c r="D40" s="147">
        <f t="shared" si="0"/>
        <v>162.50400000000002</v>
      </c>
      <c r="E40" s="87">
        <f t="shared" si="1"/>
        <v>0.90280000000000005</v>
      </c>
      <c r="F40" s="158">
        <f t="shared" si="2"/>
        <v>146.70861120000004</v>
      </c>
      <c r="G40" s="126">
        <f t="shared" si="3"/>
        <v>147</v>
      </c>
      <c r="H40" s="123" t="s">
        <v>18</v>
      </c>
      <c r="I40" s="118" t="s">
        <v>18</v>
      </c>
    </row>
    <row r="41" spans="3:13" ht="15" customHeight="1" thickBot="1" x14ac:dyDescent="0.3"/>
    <row r="42" spans="3:13" ht="15" customHeight="1" thickBot="1" x14ac:dyDescent="0.3">
      <c r="C42" s="6" t="s">
        <v>42</v>
      </c>
      <c r="D42" s="17"/>
      <c r="E42" s="9"/>
    </row>
    <row r="43" spans="3:13" ht="15" customHeight="1" x14ac:dyDescent="0.25">
      <c r="C43" s="193" t="s">
        <v>0</v>
      </c>
      <c r="D43" s="187" t="s">
        <v>70</v>
      </c>
      <c r="E43" s="165" t="s">
        <v>68</v>
      </c>
      <c r="F43" s="187" t="s">
        <v>69</v>
      </c>
      <c r="G43" s="187" t="s">
        <v>116</v>
      </c>
      <c r="H43" s="187" t="s">
        <v>71</v>
      </c>
      <c r="I43" s="187" t="s">
        <v>111</v>
      </c>
      <c r="J43" s="189" t="s">
        <v>45</v>
      </c>
      <c r="K43" s="165" t="s">
        <v>12</v>
      </c>
      <c r="L43" s="165" t="s">
        <v>19</v>
      </c>
      <c r="M43" s="185" t="s">
        <v>13</v>
      </c>
    </row>
    <row r="44" spans="3:13" ht="15" customHeight="1" thickBot="1" x14ac:dyDescent="0.3">
      <c r="C44" s="194"/>
      <c r="D44" s="188"/>
      <c r="E44" s="166"/>
      <c r="F44" s="188"/>
      <c r="G44" s="188"/>
      <c r="H44" s="188"/>
      <c r="I44" s="188"/>
      <c r="J44" s="190"/>
      <c r="K44" s="166"/>
      <c r="L44" s="166"/>
      <c r="M44" s="186"/>
    </row>
    <row r="45" spans="3:13" ht="15" customHeight="1" x14ac:dyDescent="0.25">
      <c r="C45" s="8" t="s">
        <v>1</v>
      </c>
      <c r="D45" s="57">
        <f t="shared" ref="D45:D55" si="6">IF(OR($I$6="Y",$D$8&gt;10),1.3,1)</f>
        <v>1</v>
      </c>
      <c r="E45" s="57">
        <f t="shared" ref="E45:E55" si="7">IF(AND($I$9="Y", OR($I$10="Y",$I$11="Y")), 1.5, IF($I$9="Y", 1.2, 1))</f>
        <v>1</v>
      </c>
      <c r="F45" s="57">
        <f>IF(D45*E45&lt;1.7, D45*E45, 1.7)</f>
        <v>1</v>
      </c>
      <c r="G45" s="57">
        <f>$I$14</f>
        <v>1</v>
      </c>
      <c r="H45" s="57">
        <f t="shared" ref="H45:H55" si="8">IF($I$19="N",1,IF(K45/(MIN($I$20,$I$21)+$O$22)&gt;1,1,MAX(0.4,K45/(MIN($I$20,$I$21)+$O$22))))</f>
        <v>0.4</v>
      </c>
      <c r="I45" s="57">
        <f t="shared" ref="I45:I55" si="9">$I$25</f>
        <v>1</v>
      </c>
      <c r="J45" s="63">
        <f>F45*I45*H45/G45</f>
        <v>0.4</v>
      </c>
      <c r="K45" s="12">
        <v>0.375</v>
      </c>
      <c r="L45" s="19">
        <v>0.11</v>
      </c>
      <c r="M45" s="13">
        <v>0.376</v>
      </c>
    </row>
    <row r="46" spans="3:13" ht="15" customHeight="1" x14ac:dyDescent="0.25">
      <c r="C46" s="8" t="s">
        <v>2</v>
      </c>
      <c r="D46" s="57">
        <f t="shared" si="6"/>
        <v>1</v>
      </c>
      <c r="E46" s="57">
        <f t="shared" si="7"/>
        <v>1</v>
      </c>
      <c r="F46" s="57">
        <f t="shared" ref="F46:F55" si="10">IF(D46*E46&lt;1.7, D46*E46, 1.7)</f>
        <v>1</v>
      </c>
      <c r="G46" s="57">
        <f>$I$14</f>
        <v>1</v>
      </c>
      <c r="H46" s="57">
        <f t="shared" si="8"/>
        <v>0.4</v>
      </c>
      <c r="I46" s="57">
        <f t="shared" si="9"/>
        <v>1</v>
      </c>
      <c r="J46" s="63">
        <f>F46*I46*H46/G46</f>
        <v>0.4</v>
      </c>
      <c r="K46" s="12">
        <v>0.5</v>
      </c>
      <c r="L46" s="19">
        <v>0.2</v>
      </c>
      <c r="M46" s="13">
        <v>0.66800000000000004</v>
      </c>
    </row>
    <row r="47" spans="3:13" ht="15" customHeight="1" x14ac:dyDescent="0.25">
      <c r="C47" s="8" t="s">
        <v>3</v>
      </c>
      <c r="D47" s="57">
        <f t="shared" si="6"/>
        <v>1</v>
      </c>
      <c r="E47" s="57">
        <f t="shared" si="7"/>
        <v>1</v>
      </c>
      <c r="F47" s="57">
        <f t="shared" si="10"/>
        <v>1</v>
      </c>
      <c r="G47" s="57">
        <f t="shared" ref="G47:G54" si="11">$I$14</f>
        <v>1</v>
      </c>
      <c r="H47" s="57">
        <f t="shared" si="8"/>
        <v>0.4</v>
      </c>
      <c r="I47" s="57">
        <f t="shared" si="9"/>
        <v>1</v>
      </c>
      <c r="J47" s="63">
        <f t="shared" ref="J47:J54" si="12">F47*I47*H47/G47</f>
        <v>0.4</v>
      </c>
      <c r="K47" s="12">
        <v>0.625</v>
      </c>
      <c r="L47" s="19">
        <v>0.31</v>
      </c>
      <c r="M47" s="13">
        <v>1.0429999999999999</v>
      </c>
    </row>
    <row r="48" spans="3:13" ht="15" customHeight="1" x14ac:dyDescent="0.25">
      <c r="C48" s="8" t="s">
        <v>4</v>
      </c>
      <c r="D48" s="57">
        <f t="shared" si="6"/>
        <v>1</v>
      </c>
      <c r="E48" s="57">
        <f t="shared" si="7"/>
        <v>1</v>
      </c>
      <c r="F48" s="57">
        <f t="shared" si="10"/>
        <v>1</v>
      </c>
      <c r="G48" s="57">
        <f t="shared" si="11"/>
        <v>1</v>
      </c>
      <c r="H48" s="57">
        <f t="shared" si="8"/>
        <v>0.4</v>
      </c>
      <c r="I48" s="57">
        <f t="shared" si="9"/>
        <v>1</v>
      </c>
      <c r="J48" s="63">
        <f t="shared" si="12"/>
        <v>0.4</v>
      </c>
      <c r="K48" s="12">
        <v>0.75</v>
      </c>
      <c r="L48" s="19">
        <v>0.44</v>
      </c>
      <c r="M48" s="13">
        <v>1.502</v>
      </c>
    </row>
    <row r="49" spans="3:13" ht="15" customHeight="1" x14ac:dyDescent="0.25">
      <c r="C49" s="8" t="s">
        <v>5</v>
      </c>
      <c r="D49" s="57">
        <f t="shared" si="6"/>
        <v>1</v>
      </c>
      <c r="E49" s="57">
        <f t="shared" si="7"/>
        <v>1</v>
      </c>
      <c r="F49" s="57">
        <f t="shared" si="10"/>
        <v>1</v>
      </c>
      <c r="G49" s="57">
        <f t="shared" si="11"/>
        <v>1</v>
      </c>
      <c r="H49" s="57">
        <f t="shared" si="8"/>
        <v>0.4</v>
      </c>
      <c r="I49" s="57">
        <f t="shared" si="9"/>
        <v>1</v>
      </c>
      <c r="J49" s="63">
        <f t="shared" si="12"/>
        <v>0.4</v>
      </c>
      <c r="K49" s="12">
        <v>0.875</v>
      </c>
      <c r="L49" s="19">
        <v>0.6</v>
      </c>
      <c r="M49" s="13">
        <v>2.044</v>
      </c>
    </row>
    <row r="50" spans="3:13" ht="15" customHeight="1" x14ac:dyDescent="0.25">
      <c r="C50" s="8" t="s">
        <v>6</v>
      </c>
      <c r="D50" s="57">
        <f t="shared" si="6"/>
        <v>1</v>
      </c>
      <c r="E50" s="57">
        <f t="shared" si="7"/>
        <v>1</v>
      </c>
      <c r="F50" s="57">
        <f t="shared" si="10"/>
        <v>1</v>
      </c>
      <c r="G50" s="57">
        <f t="shared" si="11"/>
        <v>1</v>
      </c>
      <c r="H50" s="57">
        <f t="shared" si="8"/>
        <v>0.4</v>
      </c>
      <c r="I50" s="57">
        <f t="shared" si="9"/>
        <v>1</v>
      </c>
      <c r="J50" s="63">
        <f t="shared" si="12"/>
        <v>0.4</v>
      </c>
      <c r="K50" s="12">
        <v>1</v>
      </c>
      <c r="L50" s="19">
        <v>0.79</v>
      </c>
      <c r="M50" s="13">
        <v>2.67</v>
      </c>
    </row>
    <row r="51" spans="3:13" ht="15" customHeight="1" x14ac:dyDescent="0.25">
      <c r="C51" s="8" t="s">
        <v>7</v>
      </c>
      <c r="D51" s="57">
        <f t="shared" si="6"/>
        <v>1</v>
      </c>
      <c r="E51" s="57">
        <f t="shared" si="7"/>
        <v>1</v>
      </c>
      <c r="F51" s="57">
        <f t="shared" si="10"/>
        <v>1</v>
      </c>
      <c r="G51" s="57">
        <f t="shared" si="11"/>
        <v>1</v>
      </c>
      <c r="H51" s="57">
        <f t="shared" si="8"/>
        <v>0.45119999999999993</v>
      </c>
      <c r="I51" s="57">
        <f t="shared" si="9"/>
        <v>1</v>
      </c>
      <c r="J51" s="63">
        <f t="shared" si="12"/>
        <v>0.45119999999999993</v>
      </c>
      <c r="K51" s="12">
        <v>1.1279999999999999</v>
      </c>
      <c r="L51" s="19">
        <v>1</v>
      </c>
      <c r="M51" s="13">
        <v>3.4</v>
      </c>
    </row>
    <row r="52" spans="3:13" ht="15" customHeight="1" x14ac:dyDescent="0.25">
      <c r="C52" s="8" t="s">
        <v>8</v>
      </c>
      <c r="D52" s="57">
        <f t="shared" si="6"/>
        <v>1</v>
      </c>
      <c r="E52" s="57">
        <f t="shared" si="7"/>
        <v>1</v>
      </c>
      <c r="F52" s="57">
        <f t="shared" si="10"/>
        <v>1</v>
      </c>
      <c r="G52" s="57">
        <f t="shared" si="11"/>
        <v>1</v>
      </c>
      <c r="H52" s="57">
        <f t="shared" si="8"/>
        <v>0.50800000000000001</v>
      </c>
      <c r="I52" s="57">
        <f t="shared" si="9"/>
        <v>1</v>
      </c>
      <c r="J52" s="63">
        <f t="shared" si="12"/>
        <v>0.50800000000000001</v>
      </c>
      <c r="K52" s="12">
        <v>1.27</v>
      </c>
      <c r="L52" s="19">
        <v>1.27</v>
      </c>
      <c r="M52" s="13">
        <v>4.3029999999999999</v>
      </c>
    </row>
    <row r="53" spans="3:13" ht="15" customHeight="1" x14ac:dyDescent="0.25">
      <c r="C53" s="8" t="s">
        <v>9</v>
      </c>
      <c r="D53" s="57">
        <f t="shared" si="6"/>
        <v>1</v>
      </c>
      <c r="E53" s="57">
        <f t="shared" si="7"/>
        <v>1</v>
      </c>
      <c r="F53" s="57">
        <f t="shared" si="10"/>
        <v>1</v>
      </c>
      <c r="G53" s="57">
        <f t="shared" si="11"/>
        <v>1</v>
      </c>
      <c r="H53" s="57">
        <f t="shared" si="8"/>
        <v>0.56399999999999995</v>
      </c>
      <c r="I53" s="57">
        <f t="shared" si="9"/>
        <v>1</v>
      </c>
      <c r="J53" s="63">
        <f t="shared" si="12"/>
        <v>0.56399999999999995</v>
      </c>
      <c r="K53" s="12">
        <v>1.41</v>
      </c>
      <c r="L53" s="19">
        <v>1.56</v>
      </c>
      <c r="M53" s="13">
        <v>5.3129999999999997</v>
      </c>
    </row>
    <row r="54" spans="3:13" ht="15" customHeight="1" x14ac:dyDescent="0.25">
      <c r="C54" s="8" t="s">
        <v>10</v>
      </c>
      <c r="D54" s="57">
        <f t="shared" si="6"/>
        <v>1</v>
      </c>
      <c r="E54" s="57">
        <f t="shared" si="7"/>
        <v>1</v>
      </c>
      <c r="F54" s="57">
        <f t="shared" si="10"/>
        <v>1</v>
      </c>
      <c r="G54" s="57">
        <f t="shared" si="11"/>
        <v>1</v>
      </c>
      <c r="H54" s="57">
        <f t="shared" si="8"/>
        <v>0.67720000000000002</v>
      </c>
      <c r="I54" s="57">
        <f t="shared" si="9"/>
        <v>1</v>
      </c>
      <c r="J54" s="63">
        <f t="shared" si="12"/>
        <v>0.67720000000000002</v>
      </c>
      <c r="K54" s="12">
        <v>1.6930000000000001</v>
      </c>
      <c r="L54" s="19">
        <v>2.25</v>
      </c>
      <c r="M54" s="13">
        <v>7.65</v>
      </c>
    </row>
    <row r="55" spans="3:13" ht="15" customHeight="1" thickBot="1" x14ac:dyDescent="0.3">
      <c r="C55" s="65" t="s">
        <v>11</v>
      </c>
      <c r="D55" s="59">
        <f t="shared" si="6"/>
        <v>1</v>
      </c>
      <c r="E55" s="59">
        <f t="shared" si="7"/>
        <v>1</v>
      </c>
      <c r="F55" s="59">
        <f t="shared" si="10"/>
        <v>1</v>
      </c>
      <c r="G55" s="59">
        <f>$I$14</f>
        <v>1</v>
      </c>
      <c r="H55" s="59">
        <f t="shared" si="8"/>
        <v>0.90280000000000005</v>
      </c>
      <c r="I55" s="59">
        <f t="shared" si="9"/>
        <v>1</v>
      </c>
      <c r="J55" s="64">
        <f>F55*I55*H55/G55</f>
        <v>0.90280000000000005</v>
      </c>
      <c r="K55" s="15">
        <v>2.2570000000000001</v>
      </c>
      <c r="L55" s="22">
        <v>4</v>
      </c>
      <c r="M55" s="16">
        <v>13.6</v>
      </c>
    </row>
    <row r="56" spans="3:13" ht="15" customHeight="1" x14ac:dyDescent="0.25"/>
    <row r="57" spans="3:13" ht="15" customHeight="1" x14ac:dyDescent="0.25"/>
    <row r="58" spans="3:13" ht="15" customHeight="1" x14ac:dyDescent="0.25"/>
    <row r="59" spans="3:13" ht="15" customHeight="1" x14ac:dyDescent="0.25"/>
    <row r="60" spans="3:13" ht="15" customHeight="1" x14ac:dyDescent="0.25"/>
    <row r="61" spans="3:13" ht="15" customHeight="1" x14ac:dyDescent="0.25"/>
  </sheetData>
  <mergeCells count="17">
    <mergeCell ref="C28:C29"/>
    <mergeCell ref="D28:D29"/>
    <mergeCell ref="G28:G29"/>
    <mergeCell ref="H28:I28"/>
    <mergeCell ref="I43:I44"/>
    <mergeCell ref="E28:E29"/>
    <mergeCell ref="H43:H44"/>
    <mergeCell ref="C43:C44"/>
    <mergeCell ref="D43:D44"/>
    <mergeCell ref="E43:E44"/>
    <mergeCell ref="F43:F44"/>
    <mergeCell ref="G43:G44"/>
    <mergeCell ref="F28:F29"/>
    <mergeCell ref="M43:M44"/>
    <mergeCell ref="J43:J44"/>
    <mergeCell ref="K43:K44"/>
    <mergeCell ref="L43:L44"/>
  </mergeCells>
  <conditionalFormatting sqref="I10:I11">
    <cfRule type="expression" dxfId="2" priority="7">
      <formula>$I$9="N"</formula>
    </cfRule>
  </conditionalFormatting>
  <conditionalFormatting sqref="O19:O22">
    <cfRule type="expression" dxfId="1" priority="1">
      <formula>$I$22="N"</formula>
    </cfRule>
  </conditionalFormatting>
  <conditionalFormatting sqref="I20:I22 O19:O22">
    <cfRule type="expression" dxfId="0" priority="8">
      <formula>$I$19="N"</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5"/>
  <cols>
    <col min="1" max="2" width="4.710937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AASHTO 2014</vt:lpstr>
      <vt:lpstr>AASHTO 2017</vt:lpstr>
      <vt:lpstr>2017 Figures</vt:lpstr>
      <vt:lpstr>'AASHTO 2014'!Print_Area</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Nop, Michael</cp:lastModifiedBy>
  <cp:lastPrinted>2016-07-12T20:53:43Z</cp:lastPrinted>
  <dcterms:created xsi:type="dcterms:W3CDTF">2016-06-22T16:14:50Z</dcterms:created>
  <dcterms:modified xsi:type="dcterms:W3CDTF">2018-07-06T15:46:46Z</dcterms:modified>
</cp:coreProperties>
</file>