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ivilrights\"/>
    </mc:Choice>
  </mc:AlternateContent>
  <xr:revisionPtr revIDLastSave="0" documentId="8_{59CCA6F6-24E7-4C24-8AA1-1140148D779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1" r:id="rId1"/>
    <sheet name="Detail" sheetId="2" state="hidden" r:id="rId2"/>
    <sheet name="Salary calculation" sheetId="3" state="hidden" r:id="rId3"/>
  </sheets>
  <externalReferences>
    <externalReference r:id="rId4"/>
  </externalReferences>
  <definedNames>
    <definedName name="_xlnm.Print_Area" localSheetId="0">Summary!$A$1:$G$34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43" i="2"/>
  <c r="F30" i="2"/>
  <c r="E12" i="2"/>
  <c r="D12" i="2"/>
  <c r="E11" i="2"/>
  <c r="D11" i="2"/>
  <c r="E10" i="2"/>
  <c r="D10" i="2"/>
  <c r="E9" i="2"/>
  <c r="D9" i="2"/>
  <c r="E8" i="2"/>
  <c r="D8" i="2"/>
  <c r="E7" i="2"/>
  <c r="D7" i="2"/>
  <c r="E6" i="2"/>
  <c r="E5" i="2"/>
  <c r="D6" i="2"/>
  <c r="D5" i="2"/>
  <c r="I3" i="3"/>
  <c r="I4" i="3"/>
  <c r="I5" i="3"/>
  <c r="I6" i="3"/>
  <c r="I7" i="3"/>
  <c r="I8" i="3"/>
  <c r="I9" i="3"/>
  <c r="I10" i="3"/>
  <c r="I11" i="3"/>
  <c r="I2" i="3"/>
  <c r="H10" i="3"/>
  <c r="D3" i="3"/>
  <c r="D4" i="3"/>
  <c r="D5" i="3"/>
  <c r="D6" i="3"/>
  <c r="D7" i="3"/>
  <c r="D8" i="3"/>
  <c r="D9" i="3"/>
  <c r="D10" i="3"/>
  <c r="D11" i="3"/>
  <c r="D2" i="3"/>
  <c r="E11" i="3"/>
  <c r="G11" i="3"/>
  <c r="H11" i="3"/>
  <c r="E10" i="3"/>
  <c r="G10" i="3"/>
  <c r="E9" i="3"/>
  <c r="G9" i="3"/>
  <c r="H9" i="3"/>
  <c r="E8" i="3"/>
  <c r="F8" i="3"/>
  <c r="E7" i="3"/>
  <c r="F7" i="3"/>
  <c r="E6" i="3"/>
  <c r="G6" i="3"/>
  <c r="H6" i="3"/>
  <c r="E5" i="3"/>
  <c r="F5" i="3"/>
  <c r="E4" i="3"/>
  <c r="G4" i="3"/>
  <c r="H4" i="3"/>
  <c r="E3" i="3"/>
  <c r="F3" i="3"/>
  <c r="E2" i="3"/>
  <c r="F2" i="3"/>
  <c r="F4" i="3"/>
  <c r="G2" i="3"/>
  <c r="G3" i="3"/>
  <c r="G5" i="3"/>
  <c r="G7" i="3"/>
  <c r="G8" i="3"/>
  <c r="F10" i="3"/>
  <c r="F9" i="3"/>
  <c r="F6" i="3"/>
  <c r="F11" i="3"/>
  <c r="H3" i="3"/>
  <c r="H8" i="3"/>
  <c r="H7" i="3"/>
  <c r="H5" i="3"/>
  <c r="H2" i="3"/>
  <c r="F11" i="2"/>
  <c r="F10" i="2"/>
  <c r="F8" i="2"/>
  <c r="F6" i="2"/>
  <c r="F7" i="2"/>
  <c r="F12" i="2"/>
  <c r="F9" i="2"/>
  <c r="F5" i="2"/>
  <c r="F16" i="2"/>
  <c r="F19" i="2"/>
  <c r="B69" i="2"/>
  <c r="F36" i="2"/>
  <c r="B50" i="2"/>
  <c r="F22" i="2"/>
  <c r="B53" i="2"/>
  <c r="B56" i="2"/>
  <c r="F26" i="2"/>
  <c r="C21" i="1"/>
  <c r="F45" i="2"/>
  <c r="F24" i="2"/>
  <c r="F38" i="2"/>
  <c r="F39" i="2"/>
  <c r="F41" i="2"/>
  <c r="G21" i="1"/>
  <c r="G34" i="1"/>
  <c r="F34" i="1"/>
  <c r="E4" i="1" l="1"/>
</calcChain>
</file>

<file path=xl/sharedStrings.xml><?xml version="1.0" encoding="utf-8"?>
<sst xmlns="http://schemas.openxmlformats.org/spreadsheetml/2006/main" count="126" uniqueCount="108">
  <si>
    <r>
      <rPr>
        <b/>
        <sz val="9"/>
        <rFont val="Calibri"/>
        <family val="2"/>
        <scheme val="minor"/>
      </rPr>
      <t>Categories</t>
    </r>
  </si>
  <si>
    <r>
      <rPr>
        <b/>
        <sz val="9"/>
        <rFont val="Calibri"/>
        <family val="2"/>
        <scheme val="minor"/>
      </rPr>
      <t>FHWA Funds
Requested</t>
    </r>
  </si>
  <si>
    <r>
      <rPr>
        <b/>
        <sz val="9"/>
        <rFont val="Calibri"/>
        <family val="2"/>
        <scheme val="minor"/>
      </rPr>
      <t>Total Cost</t>
    </r>
  </si>
  <si>
    <r>
      <rPr>
        <sz val="9"/>
        <rFont val="Calibri"/>
        <family val="2"/>
        <scheme val="minor"/>
      </rPr>
      <t>Miscellaneous/Other</t>
    </r>
  </si>
  <si>
    <r>
      <rPr>
        <sz val="9"/>
        <rFont val="Calibri"/>
        <family val="2"/>
        <scheme val="minor"/>
      </rPr>
      <t>Contractual Services</t>
    </r>
  </si>
  <si>
    <r>
      <rPr>
        <sz val="9"/>
        <rFont val="Calibri"/>
        <family val="2"/>
        <scheme val="minor"/>
      </rPr>
      <t>Equipment</t>
    </r>
  </si>
  <si>
    <r>
      <rPr>
        <sz val="9"/>
        <rFont val="Calibri"/>
        <family val="2"/>
        <scheme val="minor"/>
      </rPr>
      <t>Travel</t>
    </r>
  </si>
  <si>
    <r>
      <rPr>
        <sz val="9"/>
        <rFont val="Calibri"/>
        <family val="2"/>
        <scheme val="minor"/>
      </rPr>
      <t>Supplies</t>
    </r>
  </si>
  <si>
    <r>
      <rPr>
        <sz val="9"/>
        <rFont val="Calibri"/>
        <family val="2"/>
        <scheme val="minor"/>
      </rPr>
      <t>Stipends</t>
    </r>
  </si>
  <si>
    <r>
      <rPr>
        <sz val="9"/>
        <rFont val="Calibri"/>
        <family val="2"/>
        <scheme val="minor"/>
      </rPr>
      <t>Direct Cost</t>
    </r>
  </si>
  <si>
    <r>
      <rPr>
        <sz val="10"/>
        <color rgb="FFFFFFFF"/>
        <rFont val="Calibri"/>
        <family val="2"/>
        <scheme val="minor"/>
      </rPr>
      <t>Detailed Budget</t>
    </r>
  </si>
  <si>
    <r>
      <rPr>
        <b/>
        <sz val="9"/>
        <rFont val="Calibri"/>
        <family val="2"/>
        <scheme val="minor"/>
      </rPr>
      <t>Purpose (Short Description)</t>
    </r>
  </si>
  <si>
    <r>
      <rPr>
        <b/>
        <sz val="10"/>
        <rFont val="Calibri"/>
        <family val="2"/>
        <scheme val="minor"/>
      </rPr>
      <t>Cost Breakdown</t>
    </r>
  </si>
  <si>
    <r>
      <rPr>
        <b/>
        <sz val="9"/>
        <rFont val="Calibri"/>
        <family val="2"/>
        <scheme val="minor"/>
      </rPr>
      <t>In-Kind
Contribution(s)</t>
    </r>
  </si>
  <si>
    <t>State:</t>
  </si>
  <si>
    <t xml:space="preserve">Fiscal Year: </t>
  </si>
  <si>
    <t xml:space="preserve">Budget Description:  </t>
  </si>
  <si>
    <t>Personnel</t>
  </si>
  <si>
    <t>Contractual Services</t>
  </si>
  <si>
    <t xml:space="preserve">Equipment </t>
  </si>
  <si>
    <t>Travel</t>
  </si>
  <si>
    <t>Any 504(e) Provided Funds?</t>
  </si>
  <si>
    <t>Program Total  Cost:</t>
  </si>
  <si>
    <t>Federal Funds</t>
  </si>
  <si>
    <t>State Funds (504(e))</t>
  </si>
  <si>
    <t>State Funds  In-kind)</t>
  </si>
  <si>
    <t>State Funds (not in-kind &amp; not 504 Funds)</t>
  </si>
  <si>
    <t>Supplies</t>
  </si>
  <si>
    <r>
      <rPr>
        <b/>
        <sz val="9"/>
        <rFont val="Calibri"/>
        <family val="2"/>
        <scheme val="minor"/>
      </rPr>
      <t>Total</t>
    </r>
  </si>
  <si>
    <r>
      <rPr>
        <b/>
        <sz val="11"/>
        <rFont val="Calibri"/>
        <family val="2"/>
        <scheme val="minor"/>
      </rPr>
      <t>Total</t>
    </r>
  </si>
  <si>
    <t>Provide a short account for each category listed above, including a cost breakdown for each item and the purpose. Indirect cost not to exceed 10% unless STA has a Federally approved Indirect Cost Allocation Plan.</t>
  </si>
  <si>
    <t>Disadvantage Business Enterprise Supportive Services Program Budget</t>
  </si>
  <si>
    <t>Iowa</t>
  </si>
  <si>
    <t>Miscellaneous/Other</t>
  </si>
  <si>
    <t>Indirect Costs</t>
  </si>
  <si>
    <t>Overhead</t>
  </si>
  <si>
    <t>Personnel (.75 FTE)</t>
  </si>
  <si>
    <t>Indirect Cost (26%)</t>
  </si>
  <si>
    <t>Budget Summary</t>
  </si>
  <si>
    <t>Fringe Benefits (35.1%)</t>
  </si>
  <si>
    <t>Category</t>
  </si>
  <si>
    <t>Federal</t>
  </si>
  <si>
    <t>Name</t>
  </si>
  <si>
    <t>Title</t>
  </si>
  <si>
    <t>% Effort</t>
  </si>
  <si>
    <t>Procurement Specialist</t>
  </si>
  <si>
    <t>Zimmerman, M.</t>
  </si>
  <si>
    <t>Meseske, J.</t>
  </si>
  <si>
    <t>Business Manager</t>
  </si>
  <si>
    <t>Garcia-Velazquez, J.</t>
  </si>
  <si>
    <t>Event Support</t>
  </si>
  <si>
    <t>P&amp;S PERSONNEL</t>
  </si>
  <si>
    <t>STUDENT PERSONNEL</t>
  </si>
  <si>
    <t>FRINGE BENEFITS</t>
  </si>
  <si>
    <t>P&amp;S</t>
  </si>
  <si>
    <t>Student</t>
  </si>
  <si>
    <t>TRAVEL</t>
  </si>
  <si>
    <t>EQUIPMENT</t>
  </si>
  <si>
    <t>SUPPLIES</t>
  </si>
  <si>
    <t>SUBRECIPIENTS</t>
  </si>
  <si>
    <t>CONTRACTUAL</t>
  </si>
  <si>
    <t>CONSULTANTS</t>
  </si>
  <si>
    <r>
      <t>RENT</t>
    </r>
    <r>
      <rPr>
        <sz val="10"/>
        <color rgb="FF000000"/>
        <rFont val="Times New Roman"/>
        <family val="1"/>
      </rPr>
      <t xml:space="preserve"> (Rolls up to Equipment in ISU system)</t>
    </r>
    <r>
      <rPr>
        <b/>
        <sz val="11"/>
        <color theme="1"/>
        <rFont val="Calibri"/>
        <family val="2"/>
        <scheme val="minor"/>
      </rPr>
      <t xml:space="preserve"> - Show in "Other" for DLA</t>
    </r>
  </si>
  <si>
    <t>OTHER</t>
  </si>
  <si>
    <t>TOTAL DIRECT COSTS</t>
  </si>
  <si>
    <t>Modified Total Direct Costs (excluding Equipment, Rent)</t>
  </si>
  <si>
    <t>INDIRECT COSTS (26% of MTDC)</t>
  </si>
  <si>
    <t>TOTAL PROGRAM COSTS</t>
  </si>
  <si>
    <t xml:space="preserve">Verizon Wireless </t>
  </si>
  <si>
    <t>Other</t>
  </si>
  <si>
    <t>Mary</t>
  </si>
  <si>
    <t>Salesforce</t>
  </si>
  <si>
    <t>Marketing costs</t>
  </si>
  <si>
    <t>Event coordination costs</t>
  </si>
  <si>
    <t>Other Staff Travel</t>
  </si>
  <si>
    <t>Thach, C</t>
  </si>
  <si>
    <t>HR / OPS</t>
  </si>
  <si>
    <t>Colburn, T.</t>
  </si>
  <si>
    <t>System Support Specialist</t>
  </si>
  <si>
    <t>Event Coordinator</t>
  </si>
  <si>
    <t>Mastbergen, G.</t>
  </si>
  <si>
    <t>Barton, L</t>
  </si>
  <si>
    <t>5/1/24-4/30/25</t>
  </si>
  <si>
    <t>Essex, J.</t>
  </si>
  <si>
    <t>Program Director</t>
  </si>
  <si>
    <t>Barton, L.</t>
  </si>
  <si>
    <t>Chief Operations Officer</t>
  </si>
  <si>
    <t>McGraw, M.</t>
  </si>
  <si>
    <t>HR / Ops</t>
  </si>
  <si>
    <t xml:space="preserve">Meseke, J. </t>
  </si>
  <si>
    <t>Marketing Manager</t>
  </si>
  <si>
    <t>Kistner, K.</t>
  </si>
  <si>
    <t>External Resources</t>
  </si>
  <si>
    <t>Event Manager</t>
  </si>
  <si>
    <t>Thach, C.</t>
  </si>
  <si>
    <t>System Analyst</t>
  </si>
  <si>
    <t>FY 24 Salary</t>
  </si>
  <si>
    <t>FY25 Salary raises 7.1.24 - 1%</t>
  </si>
  <si>
    <t>FY25 Salaries after 1st raise - 6 months</t>
  </si>
  <si>
    <t>FY25 Salary raises 1.1.25 - 3%</t>
  </si>
  <si>
    <t>FY24 Salary 2 mos May/June 24</t>
  </si>
  <si>
    <t>FY25 Salaries after 2nd raise - 4 months</t>
  </si>
  <si>
    <t>Total FY25 salaries</t>
  </si>
  <si>
    <t>FY23-24</t>
  </si>
  <si>
    <t>FY24-25</t>
  </si>
  <si>
    <t xml:space="preserve">McGraw, M </t>
  </si>
  <si>
    <t>FHWA FUNDS</t>
  </si>
  <si>
    <t>In-Kind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</si>
</sst>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0.0%"/>
  </numFmts>
  <fonts count="2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00"/>
      </patternFill>
    </fill>
    <fill>
      <patternFill patternType="solid">
        <fgColor rgb="FFD8E4BC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0">
    <xf numFmtId="0" fontId="0" fillId="2" borderId="0" xfId="0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42" fontId="2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164" fontId="7" fillId="2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164" fontId="2" fillId="2" borderId="0" xfId="0" applyNumberFormat="1" applyFont="1" applyFill="1" applyAlignment="1">
      <alignment horizontal="left" vertical="top"/>
    </xf>
    <xf numFmtId="164" fontId="6" fillId="2" borderId="1" xfId="0" applyNumberFormat="1" applyFont="1" applyFill="1" applyBorder="1" applyAlignment="1">
      <alignment horizontal="center" vertical="top" wrapText="1"/>
    </xf>
    <xf numFmtId="164" fontId="7" fillId="6" borderId="1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 vertical="top"/>
    </xf>
    <xf numFmtId="165" fontId="7" fillId="2" borderId="1" xfId="0" applyNumberFormat="1" applyFont="1" applyFill="1" applyBorder="1" applyAlignment="1">
      <alignment horizontal="center" vertical="top" wrapText="1"/>
    </xf>
    <xf numFmtId="166" fontId="14" fillId="0" borderId="1" xfId="1" applyNumberFormat="1" applyFont="1" applyBorder="1" applyAlignment="1">
      <alignment horizontal="center"/>
    </xf>
    <xf numFmtId="0" fontId="15" fillId="0" borderId="5" xfId="0" applyFont="1" applyBorder="1" applyAlignment="1">
      <alignment horizontal="left" indent="1"/>
    </xf>
    <xf numFmtId="0" fontId="15" fillId="0" borderId="6" xfId="0" applyFont="1" applyBorder="1"/>
    <xf numFmtId="166" fontId="0" fillId="0" borderId="6" xfId="1" applyNumberFormat="1" applyFont="1" applyBorder="1"/>
    <xf numFmtId="0" fontId="16" fillId="0" borderId="7" xfId="0" applyFont="1" applyBorder="1" applyAlignment="1">
      <alignment horizontal="left" indent="1"/>
    </xf>
    <xf numFmtId="0" fontId="16" fillId="0" borderId="8" xfId="0" applyFont="1" applyBorder="1"/>
    <xf numFmtId="9" fontId="16" fillId="0" borderId="8" xfId="3" applyFont="1" applyFill="1" applyBorder="1"/>
    <xf numFmtId="3" fontId="16" fillId="0" borderId="8" xfId="0" applyNumberFormat="1" applyFont="1" applyBorder="1"/>
    <xf numFmtId="166" fontId="16" fillId="0" borderId="8" xfId="1" applyNumberFormat="1" applyFont="1" applyFill="1" applyBorder="1"/>
    <xf numFmtId="0" fontId="14" fillId="0" borderId="9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4" fillId="0" borderId="9" xfId="0" applyFont="1" applyBorder="1"/>
    <xf numFmtId="0" fontId="0" fillId="0" borderId="10" xfId="0" applyBorder="1" applyAlignment="1">
      <alignment horizontal="right"/>
    </xf>
    <xf numFmtId="167" fontId="1" fillId="0" borderId="10" xfId="3" applyNumberFormat="1" applyFont="1" applyFill="1" applyBorder="1" applyAlignment="1"/>
    <xf numFmtId="0" fontId="14" fillId="0" borderId="11" xfId="0" applyFont="1" applyBorder="1"/>
    <xf numFmtId="0" fontId="0" fillId="0" borderId="0" xfId="0"/>
    <xf numFmtId="9" fontId="0" fillId="0" borderId="0" xfId="3" applyFont="1"/>
    <xf numFmtId="3" fontId="0" fillId="0" borderId="0" xfId="0" applyNumberFormat="1"/>
    <xf numFmtId="166" fontId="19" fillId="0" borderId="0" xfId="1" applyNumberFormat="1" applyFont="1"/>
    <xf numFmtId="166" fontId="0" fillId="0" borderId="0" xfId="1" applyNumberFormat="1" applyFont="1"/>
    <xf numFmtId="44" fontId="16" fillId="0" borderId="8" xfId="2" applyFont="1" applyFill="1" applyBorder="1"/>
    <xf numFmtId="9" fontId="15" fillId="0" borderId="6" xfId="3" applyFont="1" applyBorder="1" applyAlignment="1">
      <alignment horizontal="center"/>
    </xf>
    <xf numFmtId="9" fontId="15" fillId="0" borderId="6" xfId="3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4" fontId="16" fillId="0" borderId="8" xfId="0" applyNumberFormat="1" applyFont="1" applyBorder="1"/>
    <xf numFmtId="4" fontId="16" fillId="0" borderId="8" xfId="1" applyNumberFormat="1" applyFont="1" applyFill="1" applyBorder="1"/>
    <xf numFmtId="43" fontId="14" fillId="0" borderId="8" xfId="1" applyFont="1" applyFill="1" applyBorder="1"/>
    <xf numFmtId="43" fontId="0" fillId="0" borderId="8" xfId="0" applyNumberFormat="1" applyBorder="1"/>
    <xf numFmtId="44" fontId="0" fillId="2" borderId="0" xfId="2" applyFont="1" applyFill="1" applyBorder="1" applyAlignment="1">
      <alignment horizontal="left" vertical="top"/>
    </xf>
    <xf numFmtId="44" fontId="20" fillId="2" borderId="0" xfId="2" applyFont="1" applyFill="1" applyBorder="1" applyAlignment="1">
      <alignment horizontal="left" vertical="top"/>
    </xf>
    <xf numFmtId="0" fontId="21" fillId="2" borderId="0" xfId="0" applyFont="1" applyFill="1" applyAlignment="1">
      <alignment horizontal="left" vertical="top"/>
    </xf>
    <xf numFmtId="44" fontId="0" fillId="2" borderId="14" xfId="2" applyFont="1" applyFill="1" applyBorder="1" applyAlignment="1">
      <alignment horizontal="left" vertical="top"/>
    </xf>
    <xf numFmtId="43" fontId="0" fillId="0" borderId="8" xfId="0" applyNumberFormat="1" applyBorder="1" applyAlignment="1">
      <alignment horizontal="center"/>
    </xf>
    <xf numFmtId="43" fontId="14" fillId="0" borderId="8" xfId="1" applyFont="1" applyBorder="1"/>
    <xf numFmtId="43" fontId="0" fillId="0" borderId="8" xfId="1" applyFont="1" applyBorder="1"/>
    <xf numFmtId="43" fontId="18" fillId="0" borderId="13" xfId="1" applyFont="1" applyBorder="1"/>
    <xf numFmtId="0" fontId="22" fillId="0" borderId="1" xfId="0" applyFont="1" applyBorder="1" applyAlignment="1">
      <alignment horizontal="left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41" fontId="11" fillId="7" borderId="1" xfId="0" applyNumberFormat="1" applyFont="1" applyFill="1" applyBorder="1"/>
    <xf numFmtId="166" fontId="11" fillId="7" borderId="1" xfId="0" applyNumberFormat="1" applyFont="1" applyFill="1" applyBorder="1"/>
    <xf numFmtId="166" fontId="12" fillId="7" borderId="1" xfId="0" applyNumberFormat="1" applyFont="1" applyFill="1" applyBorder="1"/>
    <xf numFmtId="9" fontId="11" fillId="7" borderId="1" xfId="3" applyFont="1" applyFill="1" applyBorder="1"/>
    <xf numFmtId="0" fontId="11" fillId="7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41" fontId="11" fillId="0" borderId="1" xfId="0" applyNumberFormat="1" applyFont="1" applyBorder="1"/>
    <xf numFmtId="9" fontId="11" fillId="0" borderId="1" xfId="3" applyFont="1" applyFill="1" applyBorder="1"/>
    <xf numFmtId="166" fontId="11" fillId="0" borderId="1" xfId="0" applyNumberFormat="1" applyFont="1" applyBorder="1"/>
    <xf numFmtId="166" fontId="12" fillId="0" borderId="1" xfId="0" applyNumberFormat="1" applyFont="1" applyBorder="1"/>
    <xf numFmtId="0" fontId="2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right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165" fontId="7" fillId="2" borderId="1" xfId="0" applyNumberFormat="1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top"/>
    </xf>
    <xf numFmtId="0" fontId="4" fillId="2" borderId="4" xfId="0" applyFont="1" applyFill="1" applyBorder="1" applyAlignment="1">
      <alignment horizontal="right" vertical="top"/>
    </xf>
    <xf numFmtId="0" fontId="4" fillId="2" borderId="2" xfId="0" applyFont="1" applyFill="1" applyBorder="1" applyAlignment="1">
      <alignment horizontal="right" vertical="top"/>
    </xf>
    <xf numFmtId="164" fontId="6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164" fontId="7" fillId="2" borderId="3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0" fillId="0" borderId="7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17" fillId="0" borderId="7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9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Meseke/PTAC/FY22-23%20Part%201%20submittals/FY%2022%20Application%20-%20Step%201%20Budget%20JM%20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Budget"/>
      <sheetName val="Budget Details"/>
      <sheetName val="Travel Calculations"/>
      <sheetName val="Sheet3"/>
      <sheetName val="Sheet1"/>
      <sheetName val="Sheet2"/>
    </sheetNames>
    <sheetDataSet>
      <sheetData sheetId="0"/>
      <sheetData sheetId="1">
        <row r="26">
          <cell r="G26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topLeftCell="A6" zoomScaleNormal="100" zoomScaleSheetLayoutView="100" workbookViewId="0">
      <selection activeCell="A39" sqref="A39"/>
    </sheetView>
  </sheetViews>
  <sheetFormatPr defaultColWidth="9.5" defaultRowHeight="12.75" x14ac:dyDescent="0.2"/>
  <cols>
    <col min="1" max="1" width="21.83203125" style="1" customWidth="1"/>
    <col min="2" max="3" width="15.5" style="1" customWidth="1"/>
    <col min="4" max="4" width="14.83203125" style="1" bestFit="1" customWidth="1"/>
    <col min="5" max="5" width="15.5" style="1" customWidth="1"/>
    <col min="6" max="6" width="28.1640625" style="1" bestFit="1" customWidth="1"/>
    <col min="7" max="7" width="15.5" style="1" customWidth="1"/>
    <col min="8" max="8" width="2.5" style="1" customWidth="1"/>
    <col min="9" max="16384" width="9.5" style="1"/>
  </cols>
  <sheetData>
    <row r="1" spans="1:9" ht="18.75" x14ac:dyDescent="0.2">
      <c r="A1" s="73" t="s">
        <v>31</v>
      </c>
      <c r="B1" s="73"/>
      <c r="C1" s="73"/>
      <c r="D1" s="73"/>
      <c r="E1" s="73"/>
      <c r="F1" s="73"/>
      <c r="G1" s="73"/>
    </row>
    <row r="2" spans="1:9" x14ac:dyDescent="0.2">
      <c r="A2" s="4" t="s">
        <v>14</v>
      </c>
      <c r="B2" s="2" t="s">
        <v>32</v>
      </c>
      <c r="C2" s="67"/>
      <c r="D2" s="67"/>
      <c r="E2" s="67"/>
      <c r="F2" s="67"/>
      <c r="G2" s="67"/>
    </row>
    <row r="3" spans="1:9" x14ac:dyDescent="0.2">
      <c r="A3" s="4" t="s">
        <v>15</v>
      </c>
      <c r="B3" s="2">
        <v>2026</v>
      </c>
      <c r="C3" s="67"/>
      <c r="D3" s="67"/>
      <c r="E3" s="67"/>
      <c r="F3" s="67"/>
      <c r="G3" s="67"/>
    </row>
    <row r="4" spans="1:9" x14ac:dyDescent="0.2">
      <c r="A4" s="68" t="s">
        <v>22</v>
      </c>
      <c r="B4" s="68"/>
      <c r="C4" s="13">
        <v>123338</v>
      </c>
      <c r="D4" s="3" t="s">
        <v>23</v>
      </c>
      <c r="E4" s="14">
        <f>C4</f>
        <v>123338</v>
      </c>
      <c r="F4" s="3" t="s">
        <v>24</v>
      </c>
      <c r="G4" s="5">
        <v>0</v>
      </c>
    </row>
    <row r="5" spans="1:9" x14ac:dyDescent="0.2">
      <c r="A5" s="80" t="s">
        <v>26</v>
      </c>
      <c r="B5" s="81"/>
      <c r="C5" s="81"/>
      <c r="D5" s="82"/>
      <c r="E5" s="5">
        <v>0</v>
      </c>
      <c r="F5" s="3" t="s">
        <v>25</v>
      </c>
      <c r="G5" s="5">
        <v>0</v>
      </c>
    </row>
    <row r="6" spans="1:9" x14ac:dyDescent="0.2">
      <c r="A6" s="90" t="s">
        <v>38</v>
      </c>
      <c r="B6" s="74"/>
      <c r="C6" s="74"/>
      <c r="D6" s="74"/>
      <c r="E6" s="74"/>
      <c r="F6" s="74"/>
      <c r="G6" s="74"/>
    </row>
    <row r="7" spans="1:9" x14ac:dyDescent="0.2">
      <c r="A7" s="76" t="s">
        <v>0</v>
      </c>
      <c r="B7" s="76"/>
      <c r="C7" s="76" t="s">
        <v>107</v>
      </c>
      <c r="D7" s="76"/>
      <c r="E7" s="91" t="s">
        <v>106</v>
      </c>
      <c r="F7" s="92"/>
      <c r="G7" s="6" t="s">
        <v>2</v>
      </c>
    </row>
    <row r="8" spans="1:9" x14ac:dyDescent="0.2">
      <c r="A8" s="86" t="s">
        <v>36</v>
      </c>
      <c r="B8" s="77"/>
      <c r="C8" s="72">
        <v>0</v>
      </c>
      <c r="D8" s="72"/>
      <c r="E8" s="78"/>
      <c r="F8" s="78"/>
      <c r="G8" s="5">
        <v>0</v>
      </c>
      <c r="I8" s="10"/>
    </row>
    <row r="9" spans="1:9" x14ac:dyDescent="0.2">
      <c r="A9" s="86" t="s">
        <v>39</v>
      </c>
      <c r="B9" s="77"/>
      <c r="C9" s="72">
        <v>0</v>
      </c>
      <c r="D9" s="72"/>
      <c r="E9" s="78"/>
      <c r="F9" s="78"/>
      <c r="G9" s="5">
        <v>0</v>
      </c>
      <c r="I9" s="10"/>
    </row>
    <row r="10" spans="1:9" x14ac:dyDescent="0.2">
      <c r="A10" s="77" t="s">
        <v>3</v>
      </c>
      <c r="B10" s="77"/>
      <c r="C10" s="72">
        <v>0</v>
      </c>
      <c r="D10" s="72"/>
      <c r="E10" s="78"/>
      <c r="F10" s="78"/>
      <c r="G10" s="5">
        <v>0</v>
      </c>
    </row>
    <row r="11" spans="1:9" x14ac:dyDescent="0.2">
      <c r="A11" s="77" t="s">
        <v>4</v>
      </c>
      <c r="B11" s="77"/>
      <c r="C11" s="72">
        <v>0</v>
      </c>
      <c r="D11" s="72"/>
      <c r="E11" s="78"/>
      <c r="F11" s="78"/>
      <c r="G11" s="5">
        <v>0</v>
      </c>
      <c r="I11" s="10"/>
    </row>
    <row r="12" spans="1:9" x14ac:dyDescent="0.2">
      <c r="A12" s="77" t="s">
        <v>5</v>
      </c>
      <c r="B12" s="77"/>
      <c r="C12" s="72">
        <v>0</v>
      </c>
      <c r="D12" s="72"/>
      <c r="E12" s="88"/>
      <c r="F12" s="89"/>
      <c r="G12" s="5">
        <v>0</v>
      </c>
    </row>
    <row r="13" spans="1:9" x14ac:dyDescent="0.2">
      <c r="A13" s="77" t="s">
        <v>6</v>
      </c>
      <c r="B13" s="77"/>
      <c r="C13" s="72">
        <v>0</v>
      </c>
      <c r="D13" s="72"/>
      <c r="E13" s="78"/>
      <c r="F13" s="78"/>
      <c r="G13" s="5">
        <v>0</v>
      </c>
    </row>
    <row r="14" spans="1:9" x14ac:dyDescent="0.2">
      <c r="A14" s="77" t="s">
        <v>7</v>
      </c>
      <c r="B14" s="77"/>
      <c r="C14" s="72">
        <v>0</v>
      </c>
      <c r="D14" s="72"/>
      <c r="E14" s="78"/>
      <c r="F14" s="78"/>
      <c r="G14" s="5">
        <v>0</v>
      </c>
    </row>
    <row r="15" spans="1:9" x14ac:dyDescent="0.2">
      <c r="A15" s="77" t="s">
        <v>8</v>
      </c>
      <c r="B15" s="77"/>
      <c r="C15" s="72">
        <v>0</v>
      </c>
      <c r="D15" s="72"/>
      <c r="E15" s="78"/>
      <c r="F15" s="78"/>
      <c r="G15" s="5">
        <v>0</v>
      </c>
    </row>
    <row r="16" spans="1:9" x14ac:dyDescent="0.2">
      <c r="A16" s="77" t="s">
        <v>9</v>
      </c>
      <c r="B16" s="77"/>
      <c r="C16" s="72">
        <v>0</v>
      </c>
      <c r="D16" s="72"/>
      <c r="E16" s="78"/>
      <c r="F16" s="78"/>
      <c r="G16" s="5">
        <v>0</v>
      </c>
    </row>
    <row r="17" spans="1:7" x14ac:dyDescent="0.2">
      <c r="A17" s="77" t="s">
        <v>3</v>
      </c>
      <c r="B17" s="77"/>
      <c r="C17" s="72">
        <v>0</v>
      </c>
      <c r="D17" s="72"/>
      <c r="E17" s="78"/>
      <c r="F17" s="78"/>
      <c r="G17" s="5">
        <v>0</v>
      </c>
    </row>
    <row r="18" spans="1:7" x14ac:dyDescent="0.2">
      <c r="A18" s="77" t="s">
        <v>21</v>
      </c>
      <c r="B18" s="77"/>
      <c r="C18" s="72">
        <v>0</v>
      </c>
      <c r="D18" s="72"/>
      <c r="E18" s="78"/>
      <c r="F18" s="78"/>
      <c r="G18" s="5">
        <v>0</v>
      </c>
    </row>
    <row r="19" spans="1:7" x14ac:dyDescent="0.2">
      <c r="A19" s="86" t="s">
        <v>37</v>
      </c>
      <c r="B19" s="77"/>
      <c r="C19" s="87">
        <v>0</v>
      </c>
      <c r="D19" s="87"/>
      <c r="E19" s="78"/>
      <c r="F19" s="78"/>
      <c r="G19" s="5">
        <v>0</v>
      </c>
    </row>
    <row r="20" spans="1:7" x14ac:dyDescent="0.2">
      <c r="A20" s="77"/>
      <c r="B20" s="77"/>
      <c r="C20" s="77"/>
      <c r="D20" s="77"/>
      <c r="E20" s="77"/>
      <c r="F20" s="77"/>
      <c r="G20" s="77"/>
    </row>
    <row r="21" spans="1:7" x14ac:dyDescent="0.2">
      <c r="A21" s="79" t="s">
        <v>28</v>
      </c>
      <c r="B21" s="79"/>
      <c r="C21" s="70">
        <f>SUM(C8:D19)</f>
        <v>0</v>
      </c>
      <c r="D21" s="70"/>
      <c r="E21" s="83">
        <f>SUM(E8:F19)</f>
        <v>0</v>
      </c>
      <c r="F21" s="83"/>
      <c r="G21" s="11">
        <f>SUM(G8:G18)</f>
        <v>0</v>
      </c>
    </row>
    <row r="22" spans="1:7" ht="15" x14ac:dyDescent="0.2">
      <c r="A22" s="84" t="s">
        <v>16</v>
      </c>
      <c r="B22" s="84"/>
      <c r="C22" s="84"/>
      <c r="D22" s="84"/>
      <c r="E22" s="84"/>
      <c r="F22" s="84"/>
      <c r="G22" s="84"/>
    </row>
    <row r="23" spans="1:7" ht="34.15" customHeight="1" x14ac:dyDescent="0.2">
      <c r="A23" s="85" t="s">
        <v>30</v>
      </c>
      <c r="B23" s="85"/>
      <c r="C23" s="85"/>
      <c r="D23" s="85"/>
      <c r="E23" s="85"/>
      <c r="F23" s="85"/>
      <c r="G23" s="85"/>
    </row>
    <row r="24" spans="1:7" x14ac:dyDescent="0.2">
      <c r="A24" s="74" t="s">
        <v>10</v>
      </c>
      <c r="B24" s="74"/>
      <c r="C24" s="74"/>
      <c r="D24" s="74"/>
      <c r="E24" s="74"/>
      <c r="F24" s="74"/>
      <c r="G24" s="74"/>
    </row>
    <row r="25" spans="1:7" x14ac:dyDescent="0.2">
      <c r="A25" s="75" t="s">
        <v>0</v>
      </c>
      <c r="B25" s="75" t="s">
        <v>11</v>
      </c>
      <c r="C25" s="75"/>
      <c r="D25" s="76" t="s">
        <v>12</v>
      </c>
      <c r="E25" s="76"/>
      <c r="F25" s="76"/>
      <c r="G25" s="76"/>
    </row>
    <row r="26" spans="1:7" ht="33" customHeight="1" x14ac:dyDescent="0.2">
      <c r="A26" s="75"/>
      <c r="B26" s="75"/>
      <c r="C26" s="75"/>
      <c r="D26" s="76" t="s">
        <v>1</v>
      </c>
      <c r="E26" s="76"/>
      <c r="F26" s="7" t="s">
        <v>13</v>
      </c>
      <c r="G26" s="8" t="s">
        <v>2</v>
      </c>
    </row>
    <row r="27" spans="1:7" ht="16.149999999999999" customHeight="1" x14ac:dyDescent="0.2">
      <c r="A27" s="9" t="s">
        <v>17</v>
      </c>
      <c r="B27" s="71"/>
      <c r="C27" s="71"/>
      <c r="D27" s="72"/>
      <c r="E27" s="72"/>
      <c r="F27" s="12">
        <v>0</v>
      </c>
      <c r="G27" s="5">
        <v>0</v>
      </c>
    </row>
    <row r="28" spans="1:7" ht="15.6" customHeight="1" x14ac:dyDescent="0.2">
      <c r="A28" s="9" t="s">
        <v>18</v>
      </c>
      <c r="B28" s="71"/>
      <c r="C28" s="71"/>
      <c r="D28" s="72"/>
      <c r="E28" s="72"/>
      <c r="F28" s="12">
        <v>0</v>
      </c>
      <c r="G28" s="5">
        <v>0</v>
      </c>
    </row>
    <row r="29" spans="1:7" x14ac:dyDescent="0.2">
      <c r="A29" s="9" t="s">
        <v>19</v>
      </c>
      <c r="B29" s="71"/>
      <c r="C29" s="71"/>
      <c r="D29" s="72"/>
      <c r="E29" s="72"/>
      <c r="F29" s="12">
        <v>0</v>
      </c>
      <c r="G29" s="5">
        <v>0</v>
      </c>
    </row>
    <row r="30" spans="1:7" ht="16.149999999999999" customHeight="1" x14ac:dyDescent="0.2">
      <c r="A30" s="9" t="s">
        <v>20</v>
      </c>
      <c r="B30" s="71"/>
      <c r="C30" s="71"/>
      <c r="D30" s="72"/>
      <c r="E30" s="72"/>
      <c r="F30" s="12">
        <v>0</v>
      </c>
      <c r="G30" s="5">
        <v>0</v>
      </c>
    </row>
    <row r="31" spans="1:7" x14ac:dyDescent="0.2">
      <c r="A31" s="9" t="s">
        <v>27</v>
      </c>
      <c r="B31" s="71"/>
      <c r="C31" s="71"/>
      <c r="D31" s="72"/>
      <c r="E31" s="72"/>
      <c r="F31" s="12">
        <v>0</v>
      </c>
      <c r="G31" s="5">
        <v>0</v>
      </c>
    </row>
    <row r="32" spans="1:7" ht="14.45" customHeight="1" x14ac:dyDescent="0.2">
      <c r="A32" s="9" t="s">
        <v>33</v>
      </c>
      <c r="B32" s="71"/>
      <c r="C32" s="71"/>
      <c r="D32" s="72"/>
      <c r="E32" s="72"/>
      <c r="F32" s="5">
        <v>0</v>
      </c>
      <c r="G32" s="5">
        <v>0</v>
      </c>
    </row>
    <row r="33" spans="1:7" x14ac:dyDescent="0.2">
      <c r="A33" s="9" t="s">
        <v>34</v>
      </c>
      <c r="B33" s="71" t="s">
        <v>35</v>
      </c>
      <c r="C33" s="71"/>
      <c r="D33" s="72"/>
      <c r="E33" s="72"/>
      <c r="F33" s="5">
        <v>0</v>
      </c>
      <c r="G33" s="5">
        <v>0</v>
      </c>
    </row>
    <row r="34" spans="1:7" ht="15" x14ac:dyDescent="0.2">
      <c r="A34" s="69" t="s">
        <v>29</v>
      </c>
      <c r="B34" s="69"/>
      <c r="C34" s="69"/>
      <c r="D34" s="70"/>
      <c r="E34" s="70"/>
      <c r="F34" s="11">
        <f>SUM(F27:F33)</f>
        <v>0</v>
      </c>
      <c r="G34" s="11">
        <f>SUM(G27:G33)</f>
        <v>0</v>
      </c>
    </row>
  </sheetData>
  <protectedRanges>
    <protectedRange sqref="C4" name="Range9"/>
    <protectedRange sqref="A27:G34" name="Range7"/>
    <protectedRange sqref="C4" name="Range5"/>
    <protectedRange sqref="B3" name="Range4"/>
    <protectedRange sqref="B2" name="Range3"/>
    <protectedRange sqref="C21:G21" name="Range2"/>
    <protectedRange sqref="G4:G5 E4:E5 C8:G19" name="Range1"/>
    <protectedRange sqref="E18:G18 A18:B18" name="Range8"/>
  </protectedRanges>
  <mergeCells count="71">
    <mergeCell ref="A9:B9"/>
    <mergeCell ref="C9:D9"/>
    <mergeCell ref="E9:F9"/>
    <mergeCell ref="A6:G6"/>
    <mergeCell ref="A7:B7"/>
    <mergeCell ref="C7:D7"/>
    <mergeCell ref="E7:F7"/>
    <mergeCell ref="A8:B8"/>
    <mergeCell ref="C8:D8"/>
    <mergeCell ref="E8:F8"/>
    <mergeCell ref="C14:D14"/>
    <mergeCell ref="E14:F14"/>
    <mergeCell ref="A15:B15"/>
    <mergeCell ref="C15:D15"/>
    <mergeCell ref="E15:F15"/>
    <mergeCell ref="E10:F10"/>
    <mergeCell ref="A11:B11"/>
    <mergeCell ref="C11:D11"/>
    <mergeCell ref="E11:F11"/>
    <mergeCell ref="A16:B16"/>
    <mergeCell ref="C16:D16"/>
    <mergeCell ref="E16:F16"/>
    <mergeCell ref="A12:B12"/>
    <mergeCell ref="C12:D12"/>
    <mergeCell ref="E12:F12"/>
    <mergeCell ref="A13:B13"/>
    <mergeCell ref="C13:D13"/>
    <mergeCell ref="E13:F13"/>
    <mergeCell ref="A10:B10"/>
    <mergeCell ref="C10:D10"/>
    <mergeCell ref="A14:B14"/>
    <mergeCell ref="A22:G22"/>
    <mergeCell ref="A23:G23"/>
    <mergeCell ref="A18:B18"/>
    <mergeCell ref="C18:D18"/>
    <mergeCell ref="E18:F18"/>
    <mergeCell ref="A19:B19"/>
    <mergeCell ref="C19:D19"/>
    <mergeCell ref="E19:F19"/>
    <mergeCell ref="A1:G1"/>
    <mergeCell ref="B29:C29"/>
    <mergeCell ref="D29:E29"/>
    <mergeCell ref="A24:G24"/>
    <mergeCell ref="A25:A26"/>
    <mergeCell ref="B25:C26"/>
    <mergeCell ref="D25:G25"/>
    <mergeCell ref="D26:E26"/>
    <mergeCell ref="A17:B17"/>
    <mergeCell ref="C17:D17"/>
    <mergeCell ref="E17:F17"/>
    <mergeCell ref="A20:G20"/>
    <mergeCell ref="A21:B21"/>
    <mergeCell ref="A5:D5"/>
    <mergeCell ref="C21:D21"/>
    <mergeCell ref="E21:F21"/>
    <mergeCell ref="C2:G3"/>
    <mergeCell ref="A4:B4"/>
    <mergeCell ref="A34:C34"/>
    <mergeCell ref="D34:E34"/>
    <mergeCell ref="B33:C33"/>
    <mergeCell ref="D33:E33"/>
    <mergeCell ref="B30:C30"/>
    <mergeCell ref="D30:E30"/>
    <mergeCell ref="B31:C31"/>
    <mergeCell ref="D31:E31"/>
    <mergeCell ref="B32:C32"/>
    <mergeCell ref="D32:E32"/>
    <mergeCell ref="B27:C27"/>
    <mergeCell ref="D27:E27"/>
    <mergeCell ref="B28:C28"/>
    <mergeCell ref="D28:E28"/>
  </mergeCells>
  <pageMargins left="0.5" right="0.5" top="0.5" bottom="0.5" header="0.3" footer="0.3"/>
  <pageSetup scale="8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9"/>
  <sheetViews>
    <sheetView zoomScale="85" zoomScaleNormal="85" workbookViewId="0">
      <selection activeCell="F43" sqref="F43"/>
    </sheetView>
  </sheetViews>
  <sheetFormatPr defaultRowHeight="12.75" x14ac:dyDescent="0.2"/>
  <cols>
    <col min="1" max="1" width="26.1640625" customWidth="1"/>
    <col min="2" max="2" width="24.1640625" customWidth="1"/>
    <col min="3" max="4" width="14" customWidth="1"/>
    <col min="5" max="5" width="13.5" customWidth="1"/>
    <col min="6" max="6" width="17.5" customWidth="1"/>
  </cols>
  <sheetData>
    <row r="1" spans="1:8" s="1" customFormat="1" ht="18.75" x14ac:dyDescent="0.2">
      <c r="A1" s="73" t="s">
        <v>31</v>
      </c>
      <c r="B1" s="73"/>
      <c r="C1" s="73"/>
      <c r="D1" s="73"/>
      <c r="E1" s="73"/>
      <c r="F1" s="73"/>
      <c r="G1" s="73"/>
      <c r="H1" s="73"/>
    </row>
    <row r="2" spans="1:8" ht="15" x14ac:dyDescent="0.25">
      <c r="A2" s="104" t="s">
        <v>82</v>
      </c>
      <c r="B2" s="104"/>
      <c r="C2" s="104"/>
      <c r="D2" s="104"/>
      <c r="E2" s="104"/>
      <c r="F2" s="104"/>
    </row>
    <row r="3" spans="1:8" ht="15" x14ac:dyDescent="0.25">
      <c r="A3" s="105" t="s">
        <v>40</v>
      </c>
      <c r="B3" s="106"/>
      <c r="C3" s="106"/>
      <c r="D3" s="106"/>
      <c r="E3" s="106"/>
      <c r="F3" s="15" t="s">
        <v>41</v>
      </c>
    </row>
    <row r="4" spans="1:8" ht="15" x14ac:dyDescent="0.25">
      <c r="A4" s="16" t="s">
        <v>42</v>
      </c>
      <c r="B4" s="17" t="s">
        <v>43</v>
      </c>
      <c r="C4" s="37" t="s">
        <v>44</v>
      </c>
      <c r="D4" s="38" t="s">
        <v>103</v>
      </c>
      <c r="E4" s="39" t="s">
        <v>104</v>
      </c>
      <c r="F4" s="18"/>
    </row>
    <row r="5" spans="1:8" ht="15" x14ac:dyDescent="0.25">
      <c r="A5" s="19" t="s">
        <v>46</v>
      </c>
      <c r="B5" s="20" t="s">
        <v>45</v>
      </c>
      <c r="C5" s="21">
        <v>1</v>
      </c>
      <c r="D5" s="36">
        <f>'Salary calculation'!D3*C5</f>
        <v>15388.666666666666</v>
      </c>
      <c r="E5" s="40">
        <f>('Salary calculation'!F3+'Salary calculation'!H3)*C5</f>
        <v>78645.5</v>
      </c>
      <c r="F5" s="41">
        <f>D5+E5</f>
        <v>94034.166666666672</v>
      </c>
    </row>
    <row r="6" spans="1:8" ht="15" x14ac:dyDescent="0.25">
      <c r="A6" s="19" t="s">
        <v>47</v>
      </c>
      <c r="B6" s="20" t="s">
        <v>48</v>
      </c>
      <c r="C6" s="21">
        <v>0.05</v>
      </c>
      <c r="D6" s="36">
        <f>'Salary calculation'!D6*C6</f>
        <v>754.70833333333337</v>
      </c>
      <c r="E6" s="40">
        <f>SUM('Salary calculation'!F6+'Salary calculation'!H6)*Detail!C6</f>
        <v>3857.0250000000001</v>
      </c>
      <c r="F6" s="41">
        <f t="shared" ref="F6:F12" si="0">D6+E6</f>
        <v>4611.7333333333336</v>
      </c>
    </row>
    <row r="7" spans="1:8" ht="15" x14ac:dyDescent="0.25">
      <c r="A7" s="19" t="s">
        <v>49</v>
      </c>
      <c r="B7" s="20" t="s">
        <v>50</v>
      </c>
      <c r="C7" s="21">
        <v>0.05</v>
      </c>
      <c r="D7" s="36">
        <f>'Salary calculation'!D10*Detail!C7</f>
        <v>456.2833333333333</v>
      </c>
      <c r="E7" s="40">
        <f>SUM('Salary calculation'!F10+'Salary calculation'!H10)*Detail!C7</f>
        <v>2331.9</v>
      </c>
      <c r="F7" s="41">
        <f t="shared" si="0"/>
        <v>2788.1833333333334</v>
      </c>
    </row>
    <row r="8" spans="1:8" ht="15" x14ac:dyDescent="0.25">
      <c r="A8" s="19" t="s">
        <v>75</v>
      </c>
      <c r="B8" s="20" t="s">
        <v>78</v>
      </c>
      <c r="C8" s="21">
        <v>0.02</v>
      </c>
      <c r="D8" s="36">
        <f>'Salary calculation'!D11*Detail!C8</f>
        <v>325.40666666666669</v>
      </c>
      <c r="E8" s="40">
        <f>SUM('Salary calculation'!F11+'Salary calculation'!H11)*Detail!C8</f>
        <v>1663.02</v>
      </c>
      <c r="F8" s="41">
        <f t="shared" si="0"/>
        <v>1988.4266666666667</v>
      </c>
    </row>
    <row r="9" spans="1:8" ht="15" x14ac:dyDescent="0.25">
      <c r="A9" s="19" t="s">
        <v>105</v>
      </c>
      <c r="B9" s="20" t="s">
        <v>76</v>
      </c>
      <c r="C9" s="21">
        <v>0.02</v>
      </c>
      <c r="D9" s="36">
        <f>'Salary calculation'!D5*Detail!C9</f>
        <v>234.78</v>
      </c>
      <c r="E9" s="40">
        <f>SUM('Salary calculation'!F5+'Salary calculation'!H5)*Detail!C9</f>
        <v>1199.8600000000001</v>
      </c>
      <c r="F9" s="41">
        <f t="shared" si="0"/>
        <v>1434.64</v>
      </c>
    </row>
    <row r="10" spans="1:8" ht="15" x14ac:dyDescent="0.25">
      <c r="A10" s="19" t="s">
        <v>77</v>
      </c>
      <c r="B10" s="20" t="s">
        <v>79</v>
      </c>
      <c r="C10" s="21">
        <v>0.02</v>
      </c>
      <c r="D10" s="36">
        <f>'Salary calculation'!D9*Detail!C10</f>
        <v>260.88333333333333</v>
      </c>
      <c r="E10" s="40">
        <f>SUM('Salary calculation'!F9+'Salary calculation'!H9)*Detail!C10</f>
        <v>1333.28</v>
      </c>
      <c r="F10" s="41">
        <f t="shared" si="0"/>
        <v>1594.1633333333334</v>
      </c>
    </row>
    <row r="11" spans="1:8" ht="15" x14ac:dyDescent="0.25">
      <c r="A11" s="19" t="s">
        <v>80</v>
      </c>
      <c r="B11" s="20"/>
      <c r="C11" s="21">
        <v>0.02</v>
      </c>
      <c r="D11" s="36">
        <f>'Salary calculation'!D7*Detail!C11</f>
        <v>291.2833333333333</v>
      </c>
      <c r="E11" s="40">
        <f>SUM('Salary calculation'!F7+'Salary calculation'!H7)*Detail!C11</f>
        <v>1488.63</v>
      </c>
      <c r="F11" s="41">
        <f t="shared" si="0"/>
        <v>1779.9133333333334</v>
      </c>
    </row>
    <row r="12" spans="1:8" ht="15" x14ac:dyDescent="0.25">
      <c r="A12" s="19" t="s">
        <v>81</v>
      </c>
      <c r="B12" s="20"/>
      <c r="C12" s="21">
        <v>0.02</v>
      </c>
      <c r="D12" s="36">
        <f>'Salary calculation'!D4*Detail!C12</f>
        <v>443.60333333333335</v>
      </c>
      <c r="E12" s="40">
        <f>SUM('Salary calculation'!F4+'Salary calculation'!H4)*Detail!C12</f>
        <v>2267.08</v>
      </c>
      <c r="F12" s="41">
        <f t="shared" si="0"/>
        <v>2710.6833333333334</v>
      </c>
    </row>
    <row r="13" spans="1:8" ht="15" x14ac:dyDescent="0.25">
      <c r="A13" s="19"/>
      <c r="B13" s="20"/>
      <c r="C13" s="21"/>
      <c r="D13" s="21"/>
      <c r="E13" s="22"/>
      <c r="F13" s="23"/>
    </row>
    <row r="14" spans="1:8" ht="15" x14ac:dyDescent="0.25">
      <c r="A14" s="19"/>
      <c r="B14" s="20"/>
      <c r="C14" s="21"/>
      <c r="D14" s="21"/>
      <c r="E14" s="22"/>
      <c r="F14" s="23"/>
    </row>
    <row r="15" spans="1:8" ht="15" x14ac:dyDescent="0.25">
      <c r="A15" s="19"/>
      <c r="B15" s="20"/>
      <c r="C15" s="21"/>
      <c r="D15" s="21"/>
      <c r="E15" s="22"/>
      <c r="F15" s="23"/>
    </row>
    <row r="16" spans="1:8" ht="15" x14ac:dyDescent="0.25">
      <c r="A16" s="96" t="s">
        <v>51</v>
      </c>
      <c r="B16" s="97"/>
      <c r="C16" s="97"/>
      <c r="D16" s="97"/>
      <c r="E16" s="97"/>
      <c r="F16" s="42">
        <f>SUM(F5:F15)</f>
        <v>110941.91</v>
      </c>
    </row>
    <row r="17" spans="1:6" ht="15" x14ac:dyDescent="0.25">
      <c r="A17" s="24" t="s">
        <v>52</v>
      </c>
      <c r="B17" s="25"/>
      <c r="C17" s="25"/>
      <c r="D17" s="25"/>
      <c r="E17" s="26"/>
      <c r="F17" s="42"/>
    </row>
    <row r="18" spans="1:6" ht="15" x14ac:dyDescent="0.25">
      <c r="A18" s="93"/>
      <c r="B18" s="94"/>
      <c r="C18" s="94"/>
      <c r="D18" s="94"/>
      <c r="E18" s="95"/>
      <c r="F18" s="42"/>
    </row>
    <row r="19" spans="1:6" ht="15" x14ac:dyDescent="0.25">
      <c r="A19" s="27" t="s">
        <v>53</v>
      </c>
      <c r="B19" s="28" t="s">
        <v>54</v>
      </c>
      <c r="C19" s="29">
        <v>0.375</v>
      </c>
      <c r="D19" s="29"/>
      <c r="E19" s="30"/>
      <c r="F19" s="42">
        <f>SUM(F16*C19)</f>
        <v>41603.216249999998</v>
      </c>
    </row>
    <row r="20" spans="1:6" ht="15" x14ac:dyDescent="0.25">
      <c r="A20" s="27"/>
      <c r="B20" s="28" t="s">
        <v>55</v>
      </c>
      <c r="C20" s="29">
        <v>1.7999999999999999E-2</v>
      </c>
      <c r="D20" s="29"/>
      <c r="E20" s="30"/>
      <c r="F20" s="42"/>
    </row>
    <row r="21" spans="1:6" x14ac:dyDescent="0.2">
      <c r="A21" s="93"/>
      <c r="B21" s="94"/>
      <c r="C21" s="94"/>
      <c r="D21" s="94"/>
      <c r="E21" s="95"/>
      <c r="F21" s="43"/>
    </row>
    <row r="22" spans="1:6" ht="15" x14ac:dyDescent="0.25">
      <c r="A22" s="96" t="s">
        <v>56</v>
      </c>
      <c r="B22" s="97"/>
      <c r="C22" s="97"/>
      <c r="D22" s="97"/>
      <c r="E22" s="97"/>
      <c r="F22" s="42">
        <f>B50</f>
        <v>2200</v>
      </c>
    </row>
    <row r="23" spans="1:6" x14ac:dyDescent="0.2">
      <c r="A23" s="93"/>
      <c r="B23" s="94"/>
      <c r="C23" s="94"/>
      <c r="D23" s="94"/>
      <c r="E23" s="95"/>
      <c r="F23" s="48"/>
    </row>
    <row r="24" spans="1:6" ht="15" x14ac:dyDescent="0.25">
      <c r="A24" s="96" t="s">
        <v>57</v>
      </c>
      <c r="B24" s="97"/>
      <c r="C24" s="97"/>
      <c r="D24" s="97"/>
      <c r="E24" s="97"/>
      <c r="F24" s="42">
        <f>SUM('[1]Budget Details'!G26)</f>
        <v>0</v>
      </c>
    </row>
    <row r="25" spans="1:6" x14ac:dyDescent="0.2">
      <c r="A25" s="102"/>
      <c r="B25" s="103"/>
      <c r="C25" s="103"/>
      <c r="D25" s="103"/>
      <c r="E25" s="103"/>
      <c r="F25" s="48"/>
    </row>
    <row r="26" spans="1:6" ht="15" x14ac:dyDescent="0.25">
      <c r="A26" s="96" t="s">
        <v>58</v>
      </c>
      <c r="B26" s="97"/>
      <c r="C26" s="97"/>
      <c r="D26" s="97"/>
      <c r="E26" s="97"/>
      <c r="F26" s="42">
        <f>B56</f>
        <v>1311</v>
      </c>
    </row>
    <row r="27" spans="1:6" x14ac:dyDescent="0.2">
      <c r="A27" s="93"/>
      <c r="B27" s="94"/>
      <c r="C27" s="94"/>
      <c r="D27" s="94"/>
      <c r="E27" s="95"/>
      <c r="F27" s="48"/>
    </row>
    <row r="28" spans="1:6" ht="15" x14ac:dyDescent="0.25">
      <c r="A28" s="96" t="s">
        <v>59</v>
      </c>
      <c r="B28" s="97"/>
      <c r="C28" s="97"/>
      <c r="D28" s="97"/>
      <c r="E28" s="97"/>
      <c r="F28" s="42">
        <v>0</v>
      </c>
    </row>
    <row r="29" spans="1:6" x14ac:dyDescent="0.2">
      <c r="A29" s="93"/>
      <c r="B29" s="94"/>
      <c r="C29" s="94"/>
      <c r="D29" s="94"/>
      <c r="E29" s="95"/>
      <c r="F29" s="48"/>
    </row>
    <row r="30" spans="1:6" ht="15" x14ac:dyDescent="0.25">
      <c r="A30" s="96" t="s">
        <v>60</v>
      </c>
      <c r="B30" s="97"/>
      <c r="C30" s="97"/>
      <c r="D30" s="97"/>
      <c r="E30" s="97"/>
      <c r="F30" s="42">
        <f>15493+1809.13</f>
        <v>17302.13</v>
      </c>
    </row>
    <row r="31" spans="1:6" x14ac:dyDescent="0.2">
      <c r="A31" s="93"/>
      <c r="B31" s="94"/>
      <c r="C31" s="94"/>
      <c r="D31" s="94"/>
      <c r="E31" s="95"/>
      <c r="F31" s="48"/>
    </row>
    <row r="32" spans="1:6" ht="15" x14ac:dyDescent="0.25">
      <c r="A32" s="96" t="s">
        <v>61</v>
      </c>
      <c r="B32" s="97"/>
      <c r="C32" s="97"/>
      <c r="D32" s="97"/>
      <c r="E32" s="97"/>
      <c r="F32" s="42">
        <v>0</v>
      </c>
    </row>
    <row r="33" spans="1:6" x14ac:dyDescent="0.2">
      <c r="A33" s="93"/>
      <c r="B33" s="94"/>
      <c r="C33" s="94"/>
      <c r="D33" s="94"/>
      <c r="E33" s="95"/>
      <c r="F33" s="48"/>
    </row>
    <row r="34" spans="1:6" ht="15" x14ac:dyDescent="0.25">
      <c r="A34" s="107" t="s">
        <v>62</v>
      </c>
      <c r="B34" s="108"/>
      <c r="C34" s="108"/>
      <c r="D34" s="108"/>
      <c r="E34" s="109"/>
      <c r="F34" s="42">
        <v>0</v>
      </c>
    </row>
    <row r="35" spans="1:6" x14ac:dyDescent="0.2">
      <c r="A35" s="93"/>
      <c r="B35" s="94"/>
      <c r="C35" s="94"/>
      <c r="D35" s="94"/>
      <c r="E35" s="95"/>
      <c r="F35" s="48"/>
    </row>
    <row r="36" spans="1:6" ht="15" x14ac:dyDescent="0.25">
      <c r="A36" s="96" t="s">
        <v>63</v>
      </c>
      <c r="B36" s="97"/>
      <c r="C36" s="97"/>
      <c r="D36" s="97"/>
      <c r="E36" s="97"/>
      <c r="F36" s="42">
        <f>B69</f>
        <v>4815</v>
      </c>
    </row>
    <row r="37" spans="1:6" x14ac:dyDescent="0.2">
      <c r="A37" s="93"/>
      <c r="B37" s="94"/>
      <c r="C37" s="94"/>
      <c r="D37" s="94"/>
      <c r="E37" s="95"/>
      <c r="F37" s="48"/>
    </row>
    <row r="38" spans="1:6" ht="15" x14ac:dyDescent="0.25">
      <c r="A38" s="96" t="s">
        <v>64</v>
      </c>
      <c r="B38" s="97"/>
      <c r="C38" s="97"/>
      <c r="D38" s="97"/>
      <c r="E38" s="97"/>
      <c r="F38" s="49">
        <f>SUM(F16,F19,F22,F24,F26,F28,F30,F32,F34,F36)</f>
        <v>178173.25625000001</v>
      </c>
    </row>
    <row r="39" spans="1:6" x14ac:dyDescent="0.2">
      <c r="A39" s="100" t="s">
        <v>65</v>
      </c>
      <c r="B39" s="101"/>
      <c r="C39" s="101"/>
      <c r="D39" s="101"/>
      <c r="E39" s="101"/>
      <c r="F39" s="50">
        <f>SUM(F38-F24-F34)</f>
        <v>178173.25625000001</v>
      </c>
    </row>
    <row r="40" spans="1:6" x14ac:dyDescent="0.2">
      <c r="A40" s="93"/>
      <c r="B40" s="94"/>
      <c r="C40" s="94"/>
      <c r="D40" s="94"/>
      <c r="E40" s="95"/>
      <c r="F40" s="50"/>
    </row>
    <row r="41" spans="1:6" ht="15" x14ac:dyDescent="0.25">
      <c r="A41" s="96" t="s">
        <v>66</v>
      </c>
      <c r="B41" s="97"/>
      <c r="C41" s="97"/>
      <c r="D41" s="97"/>
      <c r="E41" s="97"/>
      <c r="F41" s="49">
        <f>SUM(F39*0.26)</f>
        <v>46325.046625000003</v>
      </c>
    </row>
    <row r="42" spans="1:6" x14ac:dyDescent="0.2">
      <c r="A42" s="93"/>
      <c r="B42" s="94"/>
      <c r="C42" s="94"/>
      <c r="D42" s="94"/>
      <c r="E42" s="95"/>
      <c r="F42" s="50"/>
    </row>
    <row r="43" spans="1:6" ht="17.25" x14ac:dyDescent="0.4">
      <c r="A43" s="98" t="s">
        <v>67</v>
      </c>
      <c r="B43" s="99"/>
      <c r="C43" s="99"/>
      <c r="D43" s="99"/>
      <c r="E43" s="99"/>
      <c r="F43" s="51">
        <f>SUM(F38,F41)+0.01</f>
        <v>224498.312875</v>
      </c>
    </row>
    <row r="44" spans="1:6" x14ac:dyDescent="0.2">
      <c r="A44" s="31"/>
      <c r="B44" s="31"/>
      <c r="C44" s="32"/>
      <c r="D44" s="32"/>
      <c r="E44" s="33"/>
      <c r="F44" s="34"/>
    </row>
    <row r="45" spans="1:6" x14ac:dyDescent="0.2">
      <c r="A45" s="31"/>
      <c r="B45" s="31"/>
      <c r="C45" s="32"/>
      <c r="D45" s="32"/>
      <c r="E45" s="33"/>
      <c r="F45" s="35">
        <f>'[1]Budget Details'!G91</f>
        <v>0</v>
      </c>
    </row>
    <row r="46" spans="1:6" ht="15" x14ac:dyDescent="0.25">
      <c r="A46" s="96" t="s">
        <v>56</v>
      </c>
      <c r="B46" s="97"/>
      <c r="C46" s="97"/>
      <c r="D46" s="97"/>
      <c r="E46" s="97"/>
    </row>
    <row r="47" spans="1:6" x14ac:dyDescent="0.2">
      <c r="A47" s="46" t="s">
        <v>70</v>
      </c>
      <c r="B47" s="44">
        <v>2000</v>
      </c>
    </row>
    <row r="48" spans="1:6" x14ac:dyDescent="0.2">
      <c r="A48" s="46" t="s">
        <v>74</v>
      </c>
      <c r="B48" s="44">
        <v>200</v>
      </c>
    </row>
    <row r="49" spans="1:5" hidden="1" x14ac:dyDescent="0.2">
      <c r="B49" s="47"/>
    </row>
    <row r="50" spans="1:5" x14ac:dyDescent="0.2">
      <c r="B50" s="45">
        <f>B47+B48+B49:B49</f>
        <v>2200</v>
      </c>
    </row>
    <row r="51" spans="1:5" x14ac:dyDescent="0.2">
      <c r="B51" s="44"/>
    </row>
    <row r="52" spans="1:5" ht="15" x14ac:dyDescent="0.25">
      <c r="A52" s="96" t="s">
        <v>58</v>
      </c>
      <c r="B52" s="97"/>
      <c r="C52" s="97"/>
      <c r="D52" s="97"/>
      <c r="E52" s="97"/>
    </row>
    <row r="53" spans="1:5" x14ac:dyDescent="0.2">
      <c r="A53" t="s">
        <v>68</v>
      </c>
      <c r="B53" s="44">
        <f>43*12</f>
        <v>516</v>
      </c>
    </row>
    <row r="54" spans="1:5" x14ac:dyDescent="0.2">
      <c r="A54" s="46" t="s">
        <v>69</v>
      </c>
      <c r="B54" s="44">
        <v>795</v>
      </c>
    </row>
    <row r="55" spans="1:5" hidden="1" x14ac:dyDescent="0.2">
      <c r="B55" s="47"/>
    </row>
    <row r="56" spans="1:5" x14ac:dyDescent="0.2">
      <c r="B56" s="45">
        <f>B53+B55+B54</f>
        <v>1311</v>
      </c>
    </row>
    <row r="57" spans="1:5" x14ac:dyDescent="0.2">
      <c r="B57" s="44"/>
    </row>
    <row r="58" spans="1:5" ht="15" x14ac:dyDescent="0.25">
      <c r="A58" s="96" t="s">
        <v>60</v>
      </c>
      <c r="B58" s="97"/>
      <c r="C58" s="97"/>
      <c r="D58" s="97"/>
      <c r="E58" s="97"/>
    </row>
    <row r="59" spans="1:5" x14ac:dyDescent="0.2">
      <c r="B59" s="44"/>
    </row>
    <row r="60" spans="1:5" x14ac:dyDescent="0.2">
      <c r="B60" s="44"/>
    </row>
    <row r="61" spans="1:5" x14ac:dyDescent="0.2">
      <c r="B61" s="44"/>
    </row>
    <row r="62" spans="1:5" x14ac:dyDescent="0.2">
      <c r="B62" s="44"/>
    </row>
    <row r="63" spans="1:5" x14ac:dyDescent="0.2">
      <c r="B63" s="44"/>
    </row>
    <row r="64" spans="1:5" ht="15" x14ac:dyDescent="0.25">
      <c r="A64" s="96" t="s">
        <v>63</v>
      </c>
      <c r="B64" s="97"/>
      <c r="C64" s="97"/>
      <c r="D64" s="97"/>
      <c r="E64" s="97"/>
    </row>
    <row r="65" spans="1:2" x14ac:dyDescent="0.2">
      <c r="A65" s="46" t="s">
        <v>71</v>
      </c>
      <c r="B65" s="44">
        <v>1097</v>
      </c>
    </row>
    <row r="66" spans="1:2" x14ac:dyDescent="0.2">
      <c r="A66" s="46" t="s">
        <v>72</v>
      </c>
      <c r="B66" s="44">
        <v>1518</v>
      </c>
    </row>
    <row r="67" spans="1:2" x14ac:dyDescent="0.2">
      <c r="A67" s="46" t="s">
        <v>73</v>
      </c>
      <c r="B67" s="44">
        <v>2200</v>
      </c>
    </row>
    <row r="68" spans="1:2" hidden="1" x14ac:dyDescent="0.2">
      <c r="B68" s="47"/>
    </row>
    <row r="69" spans="1:2" x14ac:dyDescent="0.2">
      <c r="B69" s="45">
        <f>B65+B66+B67+B68</f>
        <v>4815</v>
      </c>
    </row>
  </sheetData>
  <mergeCells count="32">
    <mergeCell ref="A46:E46"/>
    <mergeCell ref="A52:E52"/>
    <mergeCell ref="A58:E58"/>
    <mergeCell ref="A64:E64"/>
    <mergeCell ref="A28:E28"/>
    <mergeCell ref="A34:E34"/>
    <mergeCell ref="A2:F2"/>
    <mergeCell ref="A3:E3"/>
    <mergeCell ref="A16:E16"/>
    <mergeCell ref="A18:E18"/>
    <mergeCell ref="A21:E21"/>
    <mergeCell ref="A22:E22"/>
    <mergeCell ref="A23:E23"/>
    <mergeCell ref="A24:E24"/>
    <mergeCell ref="A25:E25"/>
    <mergeCell ref="A26:E26"/>
    <mergeCell ref="A27:E27"/>
    <mergeCell ref="A41:E41"/>
    <mergeCell ref="A42:E42"/>
    <mergeCell ref="A43:E43"/>
    <mergeCell ref="A1:H1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27102-D776-4BB5-8A31-C40A9EEF4607}">
  <dimension ref="A1:J11"/>
  <sheetViews>
    <sheetView workbookViewId="0">
      <selection activeCell="C14" sqref="C14"/>
    </sheetView>
  </sheetViews>
  <sheetFormatPr defaultRowHeight="12.75" x14ac:dyDescent="0.2"/>
  <cols>
    <col min="1" max="1" width="18.83203125" bestFit="1" customWidth="1"/>
    <col min="2" max="2" width="23.1640625" bestFit="1" customWidth="1"/>
    <col min="4" max="4" width="11.1640625" customWidth="1"/>
    <col min="5" max="5" width="10.33203125" customWidth="1"/>
    <col min="6" max="6" width="11.33203125" customWidth="1"/>
    <col min="7" max="7" width="10.5" customWidth="1"/>
    <col min="8" max="8" width="11.33203125" customWidth="1"/>
    <col min="9" max="9" width="12.33203125" customWidth="1"/>
    <col min="10" max="10" width="9.83203125" customWidth="1"/>
  </cols>
  <sheetData>
    <row r="1" spans="1:10" ht="75" x14ac:dyDescent="0.2">
      <c r="A1" s="52" t="s">
        <v>42</v>
      </c>
      <c r="B1" s="52" t="s">
        <v>43</v>
      </c>
      <c r="C1" s="53" t="s">
        <v>96</v>
      </c>
      <c r="D1" s="53" t="s">
        <v>100</v>
      </c>
      <c r="E1" s="53" t="s">
        <v>97</v>
      </c>
      <c r="F1" s="53" t="s">
        <v>98</v>
      </c>
      <c r="G1" s="53" t="s">
        <v>99</v>
      </c>
      <c r="H1" s="53" t="s">
        <v>101</v>
      </c>
      <c r="I1" s="53" t="s">
        <v>102</v>
      </c>
      <c r="J1" s="54" t="s">
        <v>44</v>
      </c>
    </row>
    <row r="2" spans="1:10" ht="15" x14ac:dyDescent="0.25">
      <c r="A2" s="55" t="s">
        <v>83</v>
      </c>
      <c r="B2" s="55" t="s">
        <v>84</v>
      </c>
      <c r="C2" s="56">
        <v>118961</v>
      </c>
      <c r="D2" s="56">
        <f>C2/12*2</f>
        <v>19826.833333333332</v>
      </c>
      <c r="E2" s="56">
        <f t="shared" ref="E2:E11" si="0">(ROUND(C2*1.01,))</f>
        <v>120151</v>
      </c>
      <c r="F2" s="56">
        <f>E2*6/12</f>
        <v>60075.5</v>
      </c>
      <c r="G2" s="56">
        <f>(ROUND(E2*1.03,))</f>
        <v>123756</v>
      </c>
      <c r="H2" s="57">
        <f>ROUND(G2*4/12,0)</f>
        <v>41252</v>
      </c>
      <c r="I2" s="58">
        <f>D2+F2+H2</f>
        <v>121154.33333333333</v>
      </c>
      <c r="J2" s="59">
        <v>0.05</v>
      </c>
    </row>
    <row r="3" spans="1:10" ht="15" x14ac:dyDescent="0.25">
      <c r="A3" s="60" t="s">
        <v>46</v>
      </c>
      <c r="B3" s="55" t="s">
        <v>45</v>
      </c>
      <c r="C3" s="56">
        <v>92332</v>
      </c>
      <c r="D3" s="56">
        <f t="shared" ref="D3:D11" si="1">C3/12*2</f>
        <v>15388.666666666666</v>
      </c>
      <c r="E3" s="56">
        <f t="shared" si="0"/>
        <v>93255</v>
      </c>
      <c r="F3" s="56">
        <f t="shared" ref="F3:F11" si="2">E3*6/12</f>
        <v>46627.5</v>
      </c>
      <c r="G3" s="56">
        <f t="shared" ref="G3:G11" si="3">(ROUND(E3*1.03,))</f>
        <v>96053</v>
      </c>
      <c r="H3" s="57">
        <f t="shared" ref="H3:H11" si="4">ROUND(G3*4/12,0)</f>
        <v>32018</v>
      </c>
      <c r="I3" s="58">
        <f t="shared" ref="I3:I11" si="5">D3+F3+H3</f>
        <v>94034.166666666657</v>
      </c>
      <c r="J3" s="59">
        <v>1</v>
      </c>
    </row>
    <row r="4" spans="1:10" ht="15" x14ac:dyDescent="0.25">
      <c r="A4" s="61" t="s">
        <v>85</v>
      </c>
      <c r="B4" s="62" t="s">
        <v>86</v>
      </c>
      <c r="C4" s="63">
        <v>133081</v>
      </c>
      <c r="D4" s="63">
        <f t="shared" si="1"/>
        <v>22180.166666666668</v>
      </c>
      <c r="E4" s="63">
        <f t="shared" si="0"/>
        <v>134412</v>
      </c>
      <c r="F4" s="63">
        <f t="shared" si="2"/>
        <v>67206</v>
      </c>
      <c r="G4" s="63">
        <f t="shared" si="3"/>
        <v>138444</v>
      </c>
      <c r="H4" s="65">
        <f t="shared" si="4"/>
        <v>46148</v>
      </c>
      <c r="I4" s="66">
        <f t="shared" si="5"/>
        <v>135534.16666666669</v>
      </c>
      <c r="J4" s="64">
        <v>0.02</v>
      </c>
    </row>
    <row r="5" spans="1:10" ht="15" x14ac:dyDescent="0.25">
      <c r="A5" s="61" t="s">
        <v>87</v>
      </c>
      <c r="B5" s="62" t="s">
        <v>88</v>
      </c>
      <c r="C5" s="63">
        <v>70434</v>
      </c>
      <c r="D5" s="63">
        <f t="shared" si="1"/>
        <v>11739</v>
      </c>
      <c r="E5" s="63">
        <f t="shared" si="0"/>
        <v>71138</v>
      </c>
      <c r="F5" s="63">
        <f t="shared" si="2"/>
        <v>35569</v>
      </c>
      <c r="G5" s="63">
        <f t="shared" si="3"/>
        <v>73272</v>
      </c>
      <c r="H5" s="65">
        <f t="shared" si="4"/>
        <v>24424</v>
      </c>
      <c r="I5" s="66">
        <f t="shared" si="5"/>
        <v>71732</v>
      </c>
      <c r="J5" s="64">
        <v>0.02</v>
      </c>
    </row>
    <row r="6" spans="1:10" ht="15" x14ac:dyDescent="0.25">
      <c r="A6" s="61" t="s">
        <v>89</v>
      </c>
      <c r="B6" s="62" t="s">
        <v>48</v>
      </c>
      <c r="C6" s="63">
        <v>90565</v>
      </c>
      <c r="D6" s="63">
        <f t="shared" si="1"/>
        <v>15094.166666666666</v>
      </c>
      <c r="E6" s="63">
        <f t="shared" si="0"/>
        <v>91471</v>
      </c>
      <c r="F6" s="63">
        <f t="shared" si="2"/>
        <v>45735.5</v>
      </c>
      <c r="G6" s="63">
        <f t="shared" si="3"/>
        <v>94215</v>
      </c>
      <c r="H6" s="65">
        <f t="shared" si="4"/>
        <v>31405</v>
      </c>
      <c r="I6" s="66">
        <f t="shared" si="5"/>
        <v>92234.666666666657</v>
      </c>
      <c r="J6" s="64">
        <v>0.05</v>
      </c>
    </row>
    <row r="7" spans="1:10" ht="15" x14ac:dyDescent="0.25">
      <c r="A7" s="61" t="s">
        <v>80</v>
      </c>
      <c r="B7" s="62" t="s">
        <v>90</v>
      </c>
      <c r="C7" s="63">
        <v>87385</v>
      </c>
      <c r="D7" s="63">
        <f t="shared" si="1"/>
        <v>14564.166666666666</v>
      </c>
      <c r="E7" s="63">
        <f t="shared" si="0"/>
        <v>88259</v>
      </c>
      <c r="F7" s="63">
        <f t="shared" si="2"/>
        <v>44129.5</v>
      </c>
      <c r="G7" s="63">
        <f t="shared" si="3"/>
        <v>90907</v>
      </c>
      <c r="H7" s="65">
        <f t="shared" si="4"/>
        <v>30302</v>
      </c>
      <c r="I7" s="66">
        <f t="shared" si="5"/>
        <v>88995.666666666657</v>
      </c>
      <c r="J7" s="64">
        <v>0.02</v>
      </c>
    </row>
    <row r="8" spans="1:10" ht="15" x14ac:dyDescent="0.25">
      <c r="A8" s="61" t="s">
        <v>91</v>
      </c>
      <c r="B8" s="62" t="s">
        <v>92</v>
      </c>
      <c r="C8" s="63">
        <v>86160</v>
      </c>
      <c r="D8" s="63">
        <f t="shared" si="1"/>
        <v>14360</v>
      </c>
      <c r="E8" s="63">
        <f t="shared" si="0"/>
        <v>87022</v>
      </c>
      <c r="F8" s="63">
        <f t="shared" si="2"/>
        <v>43511</v>
      </c>
      <c r="G8" s="63">
        <f t="shared" si="3"/>
        <v>89633</v>
      </c>
      <c r="H8" s="65">
        <f t="shared" si="4"/>
        <v>29878</v>
      </c>
      <c r="I8" s="66">
        <f t="shared" si="5"/>
        <v>87749</v>
      </c>
      <c r="J8" s="64">
        <v>0.02</v>
      </c>
    </row>
    <row r="9" spans="1:10" ht="15" x14ac:dyDescent="0.25">
      <c r="A9" s="61" t="s">
        <v>77</v>
      </c>
      <c r="B9" s="62" t="s">
        <v>93</v>
      </c>
      <c r="C9" s="63">
        <v>78265</v>
      </c>
      <c r="D9" s="63">
        <f t="shared" si="1"/>
        <v>13044.166666666666</v>
      </c>
      <c r="E9" s="63">
        <f t="shared" si="0"/>
        <v>79048</v>
      </c>
      <c r="F9" s="63">
        <f t="shared" si="2"/>
        <v>39524</v>
      </c>
      <c r="G9" s="63">
        <f t="shared" si="3"/>
        <v>81419</v>
      </c>
      <c r="H9" s="65">
        <f t="shared" si="4"/>
        <v>27140</v>
      </c>
      <c r="I9" s="66">
        <f t="shared" si="5"/>
        <v>79708.166666666657</v>
      </c>
      <c r="J9" s="64">
        <v>0.02</v>
      </c>
    </row>
    <row r="10" spans="1:10" ht="15" x14ac:dyDescent="0.25">
      <c r="A10" s="61" t="s">
        <v>49</v>
      </c>
      <c r="B10" s="62" t="s">
        <v>79</v>
      </c>
      <c r="C10" s="63">
        <v>54754</v>
      </c>
      <c r="D10" s="63">
        <f t="shared" si="1"/>
        <v>9125.6666666666661</v>
      </c>
      <c r="E10" s="63">
        <f t="shared" si="0"/>
        <v>55302</v>
      </c>
      <c r="F10" s="63">
        <f t="shared" si="2"/>
        <v>27651</v>
      </c>
      <c r="G10" s="63">
        <f t="shared" si="3"/>
        <v>56961</v>
      </c>
      <c r="H10" s="65">
        <f t="shared" si="4"/>
        <v>18987</v>
      </c>
      <c r="I10" s="66">
        <f t="shared" si="5"/>
        <v>55763.666666666664</v>
      </c>
      <c r="J10" s="64">
        <v>0.05</v>
      </c>
    </row>
    <row r="11" spans="1:10" ht="15" x14ac:dyDescent="0.25">
      <c r="A11" s="61" t="s">
        <v>94</v>
      </c>
      <c r="B11" s="62" t="s">
        <v>95</v>
      </c>
      <c r="C11" s="63">
        <v>97622</v>
      </c>
      <c r="D11" s="63">
        <f t="shared" si="1"/>
        <v>16270.333333333334</v>
      </c>
      <c r="E11" s="63">
        <f t="shared" si="0"/>
        <v>98598</v>
      </c>
      <c r="F11" s="63">
        <f t="shared" si="2"/>
        <v>49299</v>
      </c>
      <c r="G11" s="63">
        <f t="shared" si="3"/>
        <v>101556</v>
      </c>
      <c r="H11" s="65">
        <f t="shared" si="4"/>
        <v>33852</v>
      </c>
      <c r="I11" s="66">
        <f t="shared" si="5"/>
        <v>99421.333333333328</v>
      </c>
      <c r="J11" s="64">
        <v>0.02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B9D67DB0817A4183FA289ADA51716C" ma:contentTypeVersion="2" ma:contentTypeDescription="Create a new document." ma:contentTypeScope="" ma:versionID="9abd6ae09dd8bdf4a5a153abdd740780">
  <xsd:schema xmlns:xsd="http://www.w3.org/2001/XMLSchema" xmlns:xs="http://www.w3.org/2001/XMLSchema" xmlns:p="http://schemas.microsoft.com/office/2006/metadata/properties" xmlns:ns2="1b7c3a04-61b4-4275-ac5f-2427af7ae0f7" targetNamespace="http://schemas.microsoft.com/office/2006/metadata/properties" ma:root="true" ma:fieldsID="297f2868723e73d59719a9437c5b5383" ns2:_="">
    <xsd:import namespace="1b7c3a04-61b4-4275-ac5f-2427af7ae0f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c3a04-61b4-4275-ac5f-2427af7ae0f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b7c3a04-61b4-4275-ac5f-2427af7ae0f7">T4SSYZRZJ2N7-528-2417</_dlc_DocId>
    <_dlc_DocIdUrl xmlns="1b7c3a04-61b4-4275-ac5f-2427af7ae0f7">
      <Url>http://our.dot.gov/office/fhwa.dss/cr/OJTSS/_layouts/DocIdRedir.aspx?ID=T4SSYZRZJ2N7-528-2417</Url>
      <Description>T4SSYZRZJ2N7-528-2417</Description>
    </_dlc_DocIdUrl>
  </documentManagement>
</p:properties>
</file>

<file path=customXml/itemProps1.xml><?xml version="1.0" encoding="utf-8"?>
<ds:datastoreItem xmlns:ds="http://schemas.openxmlformats.org/officeDocument/2006/customXml" ds:itemID="{2F2C4F43-A477-46A3-8FDE-D8013E3BA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7c3a04-61b4-4275-ac5f-2427af7ae0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883BAD-B097-4E51-9316-8749E4D8997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23FAF74-DF20-47D7-8D42-72AE90712E4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D9FAB21-52BE-4599-B0CE-15B0379FFD2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7c3a04-61b4-4275-ac5f-2427af7ae0f7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Detail</vt:lpstr>
      <vt:lpstr>Salary calculation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Wicks</dc:creator>
  <cp:lastModifiedBy>Murray, Rick</cp:lastModifiedBy>
  <cp:lastPrinted>2015-08-14T16:53:10Z</cp:lastPrinted>
  <dcterms:created xsi:type="dcterms:W3CDTF">2013-10-06T21:17:38Z</dcterms:created>
  <dcterms:modified xsi:type="dcterms:W3CDTF">2025-02-20T14:46:45Z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0x01010039B9D67DB0817A4183FA289ADA51716C</vt:lpwstr>
  </property>
  <property fmtid="{D5CDD505-2E9C-101B-9397-08002B2CF9AE}" pid="3" name="_dlc_DocIdItemGuid">
    <vt:lpwstr>8fac6eb0-2462-4065-bf4f-067c6b11a144</vt:lpwstr>
  </property>
  <property fmtid="{D5CDD505-2E9C-101B-9397-08002B2CF9AE}" pid="4" name="Folder_Number">
    <vt:lpwstr/>
  </property>
  <property fmtid="{D5CDD505-2E9C-101B-9397-08002B2CF9AE}" pid="5" name="Folder_Code">
    <vt:lpwstr/>
  </property>
  <property fmtid="{D5CDD505-2E9C-101B-9397-08002B2CF9AE}" pid="6" name="Folder_Name">
    <vt:lpwstr/>
  </property>
  <property fmtid="{D5CDD505-2E9C-101B-9397-08002B2CF9AE}" pid="7" name="Folder_Description">
    <vt:lpwstr/>
  </property>
  <property fmtid="{D5CDD505-2E9C-101B-9397-08002B2CF9AE}" pid="8" name="/Folder_Name/">
    <vt:lpwstr/>
  </property>
  <property fmtid="{D5CDD505-2E9C-101B-9397-08002B2CF9AE}" pid="9" name="/Folder_Description/">
    <vt:lpwstr/>
  </property>
  <property fmtid="{D5CDD505-2E9C-101B-9397-08002B2CF9AE}" pid="10" name="Folder_Version">
    <vt:lpwstr/>
  </property>
  <property fmtid="{D5CDD505-2E9C-101B-9397-08002B2CF9AE}" pid="11" name="Folder_VersionSeq">
    <vt:lpwstr/>
  </property>
  <property fmtid="{D5CDD505-2E9C-101B-9397-08002B2CF9AE}" pid="12" name="Folder_Manager">
    <vt:lpwstr/>
  </property>
  <property fmtid="{D5CDD505-2E9C-101B-9397-08002B2CF9AE}" pid="13" name="Folder_ManagerDesc">
    <vt:lpwstr/>
  </property>
  <property fmtid="{D5CDD505-2E9C-101B-9397-08002B2CF9AE}" pid="14" name="Folder_Storage">
    <vt:lpwstr/>
  </property>
  <property fmtid="{D5CDD505-2E9C-101B-9397-08002B2CF9AE}" pid="15" name="Folder_StorageDesc">
    <vt:lpwstr/>
  </property>
  <property fmtid="{D5CDD505-2E9C-101B-9397-08002B2CF9AE}" pid="16" name="Folder_Creator">
    <vt:lpwstr/>
  </property>
  <property fmtid="{D5CDD505-2E9C-101B-9397-08002B2CF9AE}" pid="17" name="Folder_CreatorDesc">
    <vt:lpwstr/>
  </property>
  <property fmtid="{D5CDD505-2E9C-101B-9397-08002B2CF9AE}" pid="18" name="Folder_CreateDate">
    <vt:lpwstr/>
  </property>
  <property fmtid="{D5CDD505-2E9C-101B-9397-08002B2CF9AE}" pid="19" name="Folder_Updater">
    <vt:lpwstr/>
  </property>
  <property fmtid="{D5CDD505-2E9C-101B-9397-08002B2CF9AE}" pid="20" name="Folder_UpdaterDesc">
    <vt:lpwstr/>
  </property>
  <property fmtid="{D5CDD505-2E9C-101B-9397-08002B2CF9AE}" pid="21" name="Folder_UpdateDate">
    <vt:lpwstr/>
  </property>
  <property fmtid="{D5CDD505-2E9C-101B-9397-08002B2CF9AE}" pid="22" name="Document_Number">
    <vt:lpwstr/>
  </property>
  <property fmtid="{D5CDD505-2E9C-101B-9397-08002B2CF9AE}" pid="23" name="Document_Name">
    <vt:lpwstr/>
  </property>
  <property fmtid="{D5CDD505-2E9C-101B-9397-08002B2CF9AE}" pid="24" name="Document_FileName">
    <vt:lpwstr/>
  </property>
  <property fmtid="{D5CDD505-2E9C-101B-9397-08002B2CF9AE}" pid="25" name="Document_Version">
    <vt:lpwstr/>
  </property>
  <property fmtid="{D5CDD505-2E9C-101B-9397-08002B2CF9AE}" pid="26" name="Document_VersionSeq">
    <vt:lpwstr/>
  </property>
  <property fmtid="{D5CDD505-2E9C-101B-9397-08002B2CF9AE}" pid="27" name="Document_Creator">
    <vt:lpwstr/>
  </property>
  <property fmtid="{D5CDD505-2E9C-101B-9397-08002B2CF9AE}" pid="28" name="Document_CreatorDesc">
    <vt:lpwstr/>
  </property>
  <property fmtid="{D5CDD505-2E9C-101B-9397-08002B2CF9AE}" pid="29" name="Document_CreateDate">
    <vt:lpwstr/>
  </property>
  <property fmtid="{D5CDD505-2E9C-101B-9397-08002B2CF9AE}" pid="30" name="Document_Updater">
    <vt:lpwstr/>
  </property>
  <property fmtid="{D5CDD505-2E9C-101B-9397-08002B2CF9AE}" pid="31" name="Document_UpdaterDesc">
    <vt:lpwstr/>
  </property>
  <property fmtid="{D5CDD505-2E9C-101B-9397-08002B2CF9AE}" pid="32" name="Document_UpdateDate">
    <vt:lpwstr/>
  </property>
  <property fmtid="{D5CDD505-2E9C-101B-9397-08002B2CF9AE}" pid="33" name="Document_Size">
    <vt:lpwstr/>
  </property>
  <property fmtid="{D5CDD505-2E9C-101B-9397-08002B2CF9AE}" pid="34" name="Document_Storage">
    <vt:lpwstr/>
  </property>
  <property fmtid="{D5CDD505-2E9C-101B-9397-08002B2CF9AE}" pid="35" name="Document_StorageDesc">
    <vt:lpwstr/>
  </property>
  <property fmtid="{D5CDD505-2E9C-101B-9397-08002B2CF9AE}" pid="36" name="Document_Department">
    <vt:lpwstr/>
  </property>
  <property fmtid="{D5CDD505-2E9C-101B-9397-08002B2CF9AE}" pid="37" name="Document_DepartmentDesc">
    <vt:lpwstr/>
  </property>
</Properties>
</file>