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HBP Funds\FFY2020\"/>
    </mc:Choice>
  </mc:AlternateContent>
  <xr:revisionPtr revIDLastSave="0" documentId="13_ncr:1_{C8D5B8AF-CAD3-4907-AC06-2A7F1C4E8C1A}" xr6:coauthVersionLast="44" xr6:coauthVersionMax="44" xr10:uidLastSave="{00000000-0000-0000-0000-000000000000}"/>
  <bookViews>
    <workbookView xWindow="1860" yWindow="795" windowWidth="26715" windowHeight="15060" activeTab="1" xr2:uid="{00000000-000D-0000-FFFF-FFFF00000000}"/>
  </bookViews>
  <sheets>
    <sheet name="Allocations" sheetId="4" r:id="rId1"/>
    <sheet name="Worksheet" sheetId="1" r:id="rId2"/>
  </sheets>
  <definedNames>
    <definedName name="_xlnm.Print_Area" localSheetId="1">Worksheet!$A$1:$V$104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03" i="1" l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AB103" i="1" l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W17" i="1" s="1"/>
  <c r="F16" i="1"/>
  <c r="F15" i="1"/>
  <c r="F14" i="1"/>
  <c r="F13" i="1"/>
  <c r="F12" i="1"/>
  <c r="F11" i="1"/>
  <c r="F10" i="1"/>
  <c r="F9" i="1"/>
  <c r="F8" i="1"/>
  <c r="F7" i="1"/>
  <c r="F6" i="1"/>
  <c r="F5" i="1"/>
  <c r="W47" i="1"/>
  <c r="G103" i="1" l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B12" i="4"/>
  <c r="B11" i="4"/>
  <c r="S104" i="1" l="1"/>
  <c r="R104" i="1"/>
  <c r="T104" i="1"/>
  <c r="U104" i="1"/>
  <c r="K91" i="1"/>
  <c r="K84" i="1"/>
  <c r="AO48" i="1" l="1"/>
  <c r="AP48" i="1" s="1"/>
  <c r="AO60" i="1"/>
  <c r="AP60" i="1" s="1"/>
  <c r="AP87" i="1" l="1"/>
  <c r="AO87" i="1"/>
  <c r="AN86" i="1" l="1"/>
  <c r="AM86" i="1"/>
  <c r="AN51" i="1"/>
  <c r="AM51" i="1"/>
  <c r="AN49" i="1"/>
  <c r="AM49" i="1"/>
  <c r="AL68" i="1"/>
  <c r="AK68" i="1"/>
  <c r="AL64" i="1"/>
  <c r="AK64" i="1"/>
  <c r="AF96" i="1" l="1"/>
  <c r="AE96" i="1"/>
  <c r="B7" i="4" l="1"/>
  <c r="AH71" i="1"/>
  <c r="AH98" i="1" l="1"/>
  <c r="AH31" i="1"/>
  <c r="AH30" i="1"/>
  <c r="AH23" i="1"/>
  <c r="AG98" i="1"/>
  <c r="AG71" i="1"/>
  <c r="AG31" i="1"/>
  <c r="AG30" i="1"/>
  <c r="AG23" i="1"/>
  <c r="G104" i="1" l="1"/>
  <c r="K104" i="1"/>
  <c r="M5" i="1" l="1"/>
  <c r="N5" i="1"/>
  <c r="Z5" i="1"/>
  <c r="D104" i="1" l="1"/>
  <c r="B5" i="4" l="1"/>
  <c r="B6" i="4" s="1"/>
  <c r="L95" i="1" l="1"/>
  <c r="AV104" i="1" l="1"/>
  <c r="AU104" i="1"/>
  <c r="M90" i="1" l="1"/>
  <c r="M6" i="1"/>
  <c r="N6" i="1"/>
  <c r="M7" i="1"/>
  <c r="N7" i="1"/>
  <c r="M8" i="1"/>
  <c r="N8" i="1"/>
  <c r="M9" i="1"/>
  <c r="M10" i="1"/>
  <c r="N10" i="1"/>
  <c r="M11" i="1"/>
  <c r="N11" i="1"/>
  <c r="M12" i="1"/>
  <c r="N12" i="1"/>
  <c r="M13" i="1"/>
  <c r="N13" i="1"/>
  <c r="M14" i="1"/>
  <c r="N14" i="1"/>
  <c r="M15" i="1"/>
  <c r="N15" i="1"/>
  <c r="M18" i="1"/>
  <c r="N18" i="1"/>
  <c r="M19" i="1"/>
  <c r="M20" i="1"/>
  <c r="N20" i="1"/>
  <c r="M21" i="1"/>
  <c r="N21" i="1"/>
  <c r="M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M54" i="1"/>
  <c r="M55" i="1"/>
  <c r="N55" i="1"/>
  <c r="M56" i="1"/>
  <c r="N56" i="1"/>
  <c r="M57" i="1"/>
  <c r="N57" i="1"/>
  <c r="M58" i="1"/>
  <c r="N58" i="1"/>
  <c r="M60" i="1"/>
  <c r="N60" i="1"/>
  <c r="M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M88" i="1"/>
  <c r="N88" i="1"/>
  <c r="M89" i="1"/>
  <c r="N89" i="1"/>
  <c r="M91" i="1"/>
  <c r="N91" i="1"/>
  <c r="M92" i="1"/>
  <c r="N92" i="1"/>
  <c r="M94" i="1"/>
  <c r="N94" i="1"/>
  <c r="M96" i="1"/>
  <c r="N96" i="1"/>
  <c r="M97" i="1"/>
  <c r="N97" i="1"/>
  <c r="M98" i="1"/>
  <c r="N98" i="1"/>
  <c r="M99" i="1"/>
  <c r="N99" i="1"/>
  <c r="M100" i="1"/>
  <c r="M101" i="1"/>
  <c r="N101" i="1"/>
  <c r="M102" i="1"/>
  <c r="N102" i="1"/>
  <c r="M103" i="1"/>
  <c r="N103" i="1"/>
  <c r="N90" i="1" l="1"/>
  <c r="N53" i="1"/>
  <c r="M53" i="1"/>
  <c r="N93" i="1" l="1"/>
  <c r="M93" i="1"/>
  <c r="M95" i="1" l="1"/>
  <c r="N59" i="1"/>
  <c r="M59" i="1"/>
  <c r="N17" i="1"/>
  <c r="M17" i="1"/>
  <c r="N100" i="1" l="1"/>
  <c r="N95" i="1"/>
  <c r="O95" i="1" s="1"/>
  <c r="N87" i="1"/>
  <c r="N70" i="1"/>
  <c r="N61" i="1"/>
  <c r="N54" i="1"/>
  <c r="N52" i="1"/>
  <c r="N22" i="1"/>
  <c r="N19" i="1"/>
  <c r="N9" i="1"/>
  <c r="N16" i="1" l="1"/>
  <c r="M16" i="1"/>
  <c r="L5" i="1"/>
  <c r="O5" i="1" l="1"/>
  <c r="Q5" i="1" s="1"/>
  <c r="E104" i="1"/>
  <c r="AY104" i="1"/>
  <c r="AZ104" i="1"/>
  <c r="AJ104" i="1"/>
  <c r="AX104" i="1"/>
  <c r="AT104" i="1"/>
  <c r="AR104" i="1"/>
  <c r="AP104" i="1"/>
  <c r="AN104" i="1"/>
  <c r="AL104" i="1"/>
  <c r="AH104" i="1"/>
  <c r="AF104" i="1"/>
  <c r="AD104" i="1"/>
  <c r="Z14" i="1"/>
  <c r="L6" i="1"/>
  <c r="O6" i="1" s="1"/>
  <c r="L7" i="1"/>
  <c r="O7" i="1" s="1"/>
  <c r="L8" i="1"/>
  <c r="O8" i="1" s="1"/>
  <c r="L10" i="1"/>
  <c r="O10" i="1" s="1"/>
  <c r="L11" i="1"/>
  <c r="O11" i="1" s="1"/>
  <c r="L12" i="1"/>
  <c r="O12" i="1" s="1"/>
  <c r="L13" i="1"/>
  <c r="O13" i="1" s="1"/>
  <c r="L14" i="1"/>
  <c r="O14" i="1" s="1"/>
  <c r="L15" i="1"/>
  <c r="O15" i="1" s="1"/>
  <c r="L16" i="1"/>
  <c r="O16" i="1" s="1"/>
  <c r="L17" i="1"/>
  <c r="O17" i="1" s="1"/>
  <c r="L18" i="1"/>
  <c r="O18" i="1" s="1"/>
  <c r="L19" i="1"/>
  <c r="O19" i="1" s="1"/>
  <c r="L20" i="1"/>
  <c r="O20" i="1" s="1"/>
  <c r="L21" i="1"/>
  <c r="O21" i="1" s="1"/>
  <c r="L22" i="1"/>
  <c r="O22" i="1" s="1"/>
  <c r="L23" i="1"/>
  <c r="O23" i="1" s="1"/>
  <c r="L24" i="1"/>
  <c r="O24" i="1" s="1"/>
  <c r="L25" i="1"/>
  <c r="O25" i="1" s="1"/>
  <c r="L26" i="1"/>
  <c r="O26" i="1" s="1"/>
  <c r="L27" i="1"/>
  <c r="O27" i="1" s="1"/>
  <c r="L28" i="1"/>
  <c r="O28" i="1" s="1"/>
  <c r="L29" i="1"/>
  <c r="O29" i="1" s="1"/>
  <c r="L30" i="1"/>
  <c r="O30" i="1" s="1"/>
  <c r="L31" i="1"/>
  <c r="O31" i="1" s="1"/>
  <c r="L32" i="1"/>
  <c r="L34" i="1"/>
  <c r="O34" i="1" s="1"/>
  <c r="L35" i="1"/>
  <c r="O35" i="1" s="1"/>
  <c r="L36" i="1"/>
  <c r="O36" i="1" s="1"/>
  <c r="L38" i="1"/>
  <c r="O38" i="1" s="1"/>
  <c r="L39" i="1"/>
  <c r="O39" i="1" s="1"/>
  <c r="L40" i="1"/>
  <c r="O40" i="1" s="1"/>
  <c r="L41" i="1"/>
  <c r="O41" i="1" s="1"/>
  <c r="L42" i="1"/>
  <c r="O42" i="1" s="1"/>
  <c r="L43" i="1"/>
  <c r="O43" i="1" s="1"/>
  <c r="L44" i="1"/>
  <c r="O44" i="1" s="1"/>
  <c r="L45" i="1"/>
  <c r="O45" i="1" s="1"/>
  <c r="L46" i="1"/>
  <c r="O46" i="1" s="1"/>
  <c r="L47" i="1"/>
  <c r="O47" i="1" s="1"/>
  <c r="L48" i="1"/>
  <c r="O48" i="1" s="1"/>
  <c r="L49" i="1"/>
  <c r="O49" i="1" s="1"/>
  <c r="L50" i="1"/>
  <c r="O50" i="1" s="1"/>
  <c r="L51" i="1"/>
  <c r="O51" i="1" s="1"/>
  <c r="L52" i="1"/>
  <c r="O52" i="1" s="1"/>
  <c r="L53" i="1"/>
  <c r="O53" i="1" s="1"/>
  <c r="L54" i="1"/>
  <c r="O54" i="1" s="1"/>
  <c r="L55" i="1"/>
  <c r="O55" i="1" s="1"/>
  <c r="L56" i="1"/>
  <c r="O56" i="1" s="1"/>
  <c r="L57" i="1"/>
  <c r="O57" i="1" s="1"/>
  <c r="L58" i="1"/>
  <c r="O58" i="1" s="1"/>
  <c r="L59" i="1"/>
  <c r="O59" i="1" s="1"/>
  <c r="L60" i="1"/>
  <c r="O60" i="1" s="1"/>
  <c r="L61" i="1"/>
  <c r="O61" i="1" s="1"/>
  <c r="L62" i="1"/>
  <c r="O62" i="1" s="1"/>
  <c r="L63" i="1"/>
  <c r="O63" i="1" s="1"/>
  <c r="L64" i="1"/>
  <c r="O64" i="1" s="1"/>
  <c r="L65" i="1"/>
  <c r="O65" i="1" s="1"/>
  <c r="L66" i="1"/>
  <c r="O66" i="1" s="1"/>
  <c r="L67" i="1"/>
  <c r="O67" i="1" s="1"/>
  <c r="L68" i="1"/>
  <c r="O68" i="1" s="1"/>
  <c r="L69" i="1"/>
  <c r="O69" i="1" s="1"/>
  <c r="L70" i="1"/>
  <c r="O70" i="1" s="1"/>
  <c r="L71" i="1"/>
  <c r="O71" i="1" s="1"/>
  <c r="L72" i="1"/>
  <c r="O72" i="1" s="1"/>
  <c r="L73" i="1"/>
  <c r="O73" i="1" s="1"/>
  <c r="L74" i="1"/>
  <c r="O74" i="1" s="1"/>
  <c r="L75" i="1"/>
  <c r="O75" i="1" s="1"/>
  <c r="L76" i="1"/>
  <c r="O76" i="1" s="1"/>
  <c r="L77" i="1"/>
  <c r="O77" i="1" s="1"/>
  <c r="L78" i="1"/>
  <c r="O78" i="1" s="1"/>
  <c r="L79" i="1"/>
  <c r="O79" i="1" s="1"/>
  <c r="L80" i="1"/>
  <c r="O80" i="1" s="1"/>
  <c r="L81" i="1"/>
  <c r="O81" i="1" s="1"/>
  <c r="L82" i="1"/>
  <c r="O82" i="1" s="1"/>
  <c r="L83" i="1"/>
  <c r="O83" i="1" s="1"/>
  <c r="L84" i="1"/>
  <c r="O84" i="1" s="1"/>
  <c r="L85" i="1"/>
  <c r="O85" i="1" s="1"/>
  <c r="L86" i="1"/>
  <c r="O86" i="1" s="1"/>
  <c r="L87" i="1"/>
  <c r="O87" i="1" s="1"/>
  <c r="L88" i="1"/>
  <c r="O88" i="1" s="1"/>
  <c r="L89" i="1"/>
  <c r="O89" i="1" s="1"/>
  <c r="L90" i="1"/>
  <c r="O90" i="1" s="1"/>
  <c r="L91" i="1"/>
  <c r="O91" i="1" s="1"/>
  <c r="L92" i="1"/>
  <c r="O92" i="1" s="1"/>
  <c r="L93" i="1"/>
  <c r="O93" i="1" s="1"/>
  <c r="L94" i="1"/>
  <c r="O94" i="1" s="1"/>
  <c r="L96" i="1"/>
  <c r="O96" i="1" s="1"/>
  <c r="L97" i="1"/>
  <c r="O97" i="1" s="1"/>
  <c r="L98" i="1"/>
  <c r="O98" i="1" s="1"/>
  <c r="L99" i="1"/>
  <c r="O99" i="1" s="1"/>
  <c r="L100" i="1"/>
  <c r="O100" i="1" s="1"/>
  <c r="L102" i="1"/>
  <c r="O102" i="1" s="1"/>
  <c r="L103" i="1"/>
  <c r="O103" i="1" s="1"/>
  <c r="C104" i="1"/>
  <c r="AW104" i="1"/>
  <c r="AS104" i="1"/>
  <c r="AQ104" i="1"/>
  <c r="AO104" i="1"/>
  <c r="AM104" i="1"/>
  <c r="AK104" i="1"/>
  <c r="AI104" i="1"/>
  <c r="AG104" i="1"/>
  <c r="AE104" i="1"/>
  <c r="AC104" i="1"/>
  <c r="H5" i="1"/>
  <c r="I5" i="1" s="1"/>
  <c r="J5" i="1"/>
  <c r="O32" i="1" l="1"/>
  <c r="J101" i="1"/>
  <c r="L101" i="1"/>
  <c r="O101" i="1" s="1"/>
  <c r="J37" i="1"/>
  <c r="L37" i="1"/>
  <c r="J33" i="1"/>
  <c r="L33" i="1"/>
  <c r="J9" i="1"/>
  <c r="L9" i="1"/>
  <c r="V5" i="1"/>
  <c r="W5" i="1" s="1"/>
  <c r="P5" i="1"/>
  <c r="Q83" i="1"/>
  <c r="H67" i="1"/>
  <c r="I67" i="1" s="1"/>
  <c r="H23" i="1"/>
  <c r="I23" i="1" s="1"/>
  <c r="J19" i="1"/>
  <c r="H7" i="1"/>
  <c r="I7" i="1" s="1"/>
  <c r="J42" i="1"/>
  <c r="J93" i="1"/>
  <c r="J85" i="1"/>
  <c r="J77" i="1"/>
  <c r="J61" i="1"/>
  <c r="J53" i="1"/>
  <c r="J45" i="1"/>
  <c r="J41" i="1"/>
  <c r="J29" i="1"/>
  <c r="J25" i="1"/>
  <c r="J21" i="1"/>
  <c r="J17" i="1"/>
  <c r="J13" i="1"/>
  <c r="J100" i="1"/>
  <c r="J63" i="1"/>
  <c r="Q51" i="1"/>
  <c r="H43" i="1"/>
  <c r="I43" i="1" s="1"/>
  <c r="H27" i="1"/>
  <c r="I27" i="1" s="1"/>
  <c r="Q11" i="1"/>
  <c r="J90" i="1"/>
  <c r="J82" i="1"/>
  <c r="J70" i="1"/>
  <c r="J54" i="1"/>
  <c r="J10" i="1"/>
  <c r="J92" i="1"/>
  <c r="J69" i="1"/>
  <c r="H11" i="1"/>
  <c r="I11" i="1" s="1"/>
  <c r="AF105" i="1"/>
  <c r="AT105" i="1"/>
  <c r="J96" i="1"/>
  <c r="J88" i="1"/>
  <c r="J80" i="1"/>
  <c r="J72" i="1"/>
  <c r="J60" i="1"/>
  <c r="J52" i="1"/>
  <c r="J40" i="1"/>
  <c r="J28" i="1"/>
  <c r="J99" i="1"/>
  <c r="J91" i="1"/>
  <c r="J83" i="1"/>
  <c r="J79" i="1"/>
  <c r="J75" i="1"/>
  <c r="J71" i="1"/>
  <c r="J67" i="1"/>
  <c r="J59" i="1"/>
  <c r="J55" i="1"/>
  <c r="J51" i="1"/>
  <c r="J47" i="1"/>
  <c r="J43" i="1"/>
  <c r="J39" i="1"/>
  <c r="J35" i="1"/>
  <c r="J31" i="1"/>
  <c r="J27" i="1"/>
  <c r="J23" i="1"/>
  <c r="J15" i="1"/>
  <c r="J7" i="1"/>
  <c r="J64" i="1"/>
  <c r="J48" i="1"/>
  <c r="J36" i="1"/>
  <c r="J24" i="1"/>
  <c r="J16" i="1"/>
  <c r="J8" i="1"/>
  <c r="J102" i="1"/>
  <c r="J98" i="1"/>
  <c r="J94" i="1"/>
  <c r="J86" i="1"/>
  <c r="J78" i="1"/>
  <c r="J74" i="1"/>
  <c r="J66" i="1"/>
  <c r="J62" i="1"/>
  <c r="J58" i="1"/>
  <c r="J50" i="1"/>
  <c r="J46" i="1"/>
  <c r="J38" i="1"/>
  <c r="J34" i="1"/>
  <c r="J30" i="1"/>
  <c r="J26" i="1"/>
  <c r="J22" i="1"/>
  <c r="J18" i="1"/>
  <c r="J14" i="1"/>
  <c r="J6" i="1"/>
  <c r="J84" i="1"/>
  <c r="J76" i="1"/>
  <c r="J68" i="1"/>
  <c r="J56" i="1"/>
  <c r="J44" i="1"/>
  <c r="J32" i="1"/>
  <c r="J20" i="1"/>
  <c r="J12" i="1"/>
  <c r="H97" i="1"/>
  <c r="I97" i="1" s="1"/>
  <c r="Q93" i="1"/>
  <c r="H89" i="1"/>
  <c r="I89" i="1" s="1"/>
  <c r="Q85" i="1"/>
  <c r="H81" i="1"/>
  <c r="I81" i="1" s="1"/>
  <c r="H73" i="1"/>
  <c r="I73" i="1" s="1"/>
  <c r="H65" i="1"/>
  <c r="I65" i="1" s="1"/>
  <c r="Q61" i="1"/>
  <c r="H57" i="1"/>
  <c r="I57" i="1" s="1"/>
  <c r="Q53" i="1"/>
  <c r="H49" i="1"/>
  <c r="I49" i="1" s="1"/>
  <c r="H41" i="1"/>
  <c r="I41" i="1" s="1"/>
  <c r="H33" i="1"/>
  <c r="I33" i="1" s="1"/>
  <c r="Q29" i="1"/>
  <c r="H25" i="1"/>
  <c r="I25" i="1" s="1"/>
  <c r="Q21" i="1"/>
  <c r="H13" i="1"/>
  <c r="I13" i="1" s="1"/>
  <c r="H9" i="1"/>
  <c r="I9" i="1" s="1"/>
  <c r="J97" i="1"/>
  <c r="J81" i="1"/>
  <c r="J65" i="1"/>
  <c r="J49" i="1"/>
  <c r="H39" i="1"/>
  <c r="I39" i="1" s="1"/>
  <c r="H99" i="1"/>
  <c r="I99" i="1" s="1"/>
  <c r="Q27" i="1"/>
  <c r="J89" i="1"/>
  <c r="J73" i="1"/>
  <c r="J57" i="1"/>
  <c r="H59" i="1"/>
  <c r="I59" i="1" s="1"/>
  <c r="Q59" i="1"/>
  <c r="AV105" i="1"/>
  <c r="AN105" i="1"/>
  <c r="AL105" i="1"/>
  <c r="H15" i="1"/>
  <c r="I15" i="1" s="1"/>
  <c r="H31" i="1"/>
  <c r="I31" i="1" s="1"/>
  <c r="H47" i="1"/>
  <c r="I47" i="1" s="1"/>
  <c r="H75" i="1"/>
  <c r="I75" i="1" s="1"/>
  <c r="Q75" i="1"/>
  <c r="Q43" i="1"/>
  <c r="H19" i="1"/>
  <c r="I19" i="1" s="1"/>
  <c r="H35" i="1"/>
  <c r="I35" i="1" s="1"/>
  <c r="H51" i="1"/>
  <c r="I51" i="1" s="1"/>
  <c r="H83" i="1"/>
  <c r="I83" i="1" s="1"/>
  <c r="Q67" i="1"/>
  <c r="AJ105" i="1"/>
  <c r="AH105" i="1"/>
  <c r="AD105" i="1"/>
  <c r="J103" i="1"/>
  <c r="Q103" i="1"/>
  <c r="H103" i="1"/>
  <c r="I103" i="1" s="1"/>
  <c r="J95" i="1"/>
  <c r="Q95" i="1"/>
  <c r="H95" i="1"/>
  <c r="J87" i="1"/>
  <c r="Q87" i="1"/>
  <c r="H87" i="1"/>
  <c r="I87" i="1" s="1"/>
  <c r="H91" i="1"/>
  <c r="I91" i="1" s="1"/>
  <c r="J11" i="1"/>
  <c r="H21" i="1"/>
  <c r="I21" i="1" s="1"/>
  <c r="H29" i="1"/>
  <c r="I29" i="1" s="1"/>
  <c r="H37" i="1"/>
  <c r="I37" i="1" s="1"/>
  <c r="H45" i="1"/>
  <c r="I45" i="1" s="1"/>
  <c r="H53" i="1"/>
  <c r="I53" i="1" s="1"/>
  <c r="H61" i="1"/>
  <c r="I61" i="1" s="1"/>
  <c r="H69" i="1"/>
  <c r="I69" i="1" s="1"/>
  <c r="H77" i="1"/>
  <c r="I77" i="1" s="1"/>
  <c r="H85" i="1"/>
  <c r="I85" i="1" s="1"/>
  <c r="H93" i="1"/>
  <c r="I93" i="1" s="1"/>
  <c r="H101" i="1"/>
  <c r="I101" i="1" s="1"/>
  <c r="Q97" i="1"/>
  <c r="Q89" i="1"/>
  <c r="Q73" i="1"/>
  <c r="Q65" i="1"/>
  <c r="Q57" i="1"/>
  <c r="Q15" i="1"/>
  <c r="H55" i="1"/>
  <c r="I55" i="1" s="1"/>
  <c r="H63" i="1"/>
  <c r="I63" i="1" s="1"/>
  <c r="H71" i="1"/>
  <c r="I71" i="1" s="1"/>
  <c r="H79" i="1"/>
  <c r="I79" i="1" s="1"/>
  <c r="Q47" i="1"/>
  <c r="Q39" i="1"/>
  <c r="Q31" i="1"/>
  <c r="H17" i="1"/>
  <c r="I17" i="1" s="1"/>
  <c r="Q19" i="1"/>
  <c r="AZ105" i="1"/>
  <c r="Z57" i="1"/>
  <c r="Z102" i="1"/>
  <c r="Z38" i="1"/>
  <c r="Z95" i="1"/>
  <c r="Z25" i="1"/>
  <c r="Z70" i="1"/>
  <c r="Z6" i="1"/>
  <c r="Z73" i="1"/>
  <c r="Z9" i="1"/>
  <c r="Z54" i="1"/>
  <c r="Z41" i="1"/>
  <c r="Z86" i="1"/>
  <c r="Z22" i="1"/>
  <c r="AX105" i="1"/>
  <c r="AR105" i="1"/>
  <c r="N104" i="1"/>
  <c r="M104" i="1"/>
  <c r="AP105" i="1"/>
  <c r="Z81" i="1"/>
  <c r="Z65" i="1"/>
  <c r="Z49" i="1"/>
  <c r="Z33" i="1"/>
  <c r="Z17" i="1"/>
  <c r="Z97" i="1"/>
  <c r="Z94" i="1"/>
  <c r="Z78" i="1"/>
  <c r="Z62" i="1"/>
  <c r="Z46" i="1"/>
  <c r="Z30" i="1"/>
  <c r="H102" i="1"/>
  <c r="I102" i="1" s="1"/>
  <c r="H100" i="1"/>
  <c r="I100" i="1" s="1"/>
  <c r="Q98" i="1"/>
  <c r="H98" i="1"/>
  <c r="I98" i="1" s="1"/>
  <c r="Q96" i="1"/>
  <c r="H96" i="1"/>
  <c r="I96" i="1" s="1"/>
  <c r="H94" i="1"/>
  <c r="I94" i="1" s="1"/>
  <c r="Q92" i="1"/>
  <c r="H92" i="1"/>
  <c r="I92" i="1" s="1"/>
  <c r="H90" i="1"/>
  <c r="I90" i="1" s="1"/>
  <c r="Q88" i="1"/>
  <c r="H88" i="1"/>
  <c r="I88" i="1" s="1"/>
  <c r="H86" i="1"/>
  <c r="I86" i="1" s="1"/>
  <c r="Q84" i="1"/>
  <c r="H84" i="1"/>
  <c r="I84" i="1" s="1"/>
  <c r="Q82" i="1"/>
  <c r="H82" i="1"/>
  <c r="I82" i="1" s="1"/>
  <c r="Q80" i="1"/>
  <c r="H80" i="1"/>
  <c r="I80" i="1" s="1"/>
  <c r="Q78" i="1"/>
  <c r="H78" i="1"/>
  <c r="I78" i="1" s="1"/>
  <c r="Q76" i="1"/>
  <c r="H76" i="1"/>
  <c r="I76" i="1" s="1"/>
  <c r="Q74" i="1"/>
  <c r="H74" i="1"/>
  <c r="I74" i="1" s="1"/>
  <c r="Q72" i="1"/>
  <c r="H72" i="1"/>
  <c r="I72" i="1" s="1"/>
  <c r="Q70" i="1"/>
  <c r="H70" i="1"/>
  <c r="I70" i="1" s="1"/>
  <c r="Q68" i="1"/>
  <c r="H68" i="1"/>
  <c r="I68" i="1" s="1"/>
  <c r="Q66" i="1"/>
  <c r="H66" i="1"/>
  <c r="I66" i="1" s="1"/>
  <c r="Q64" i="1"/>
  <c r="H64" i="1"/>
  <c r="I64" i="1" s="1"/>
  <c r="Q62" i="1"/>
  <c r="H62" i="1"/>
  <c r="I62" i="1" s="1"/>
  <c r="Q60" i="1"/>
  <c r="H60" i="1"/>
  <c r="I60" i="1" s="1"/>
  <c r="Q58" i="1"/>
  <c r="H58" i="1"/>
  <c r="I58" i="1" s="1"/>
  <c r="Q56" i="1"/>
  <c r="H56" i="1"/>
  <c r="I56" i="1" s="1"/>
  <c r="Q54" i="1"/>
  <c r="H54" i="1"/>
  <c r="I54" i="1" s="1"/>
  <c r="Q52" i="1"/>
  <c r="H52" i="1"/>
  <c r="I52" i="1" s="1"/>
  <c r="Q50" i="1"/>
  <c r="H50" i="1"/>
  <c r="I50" i="1" s="1"/>
  <c r="Q48" i="1"/>
  <c r="H48" i="1"/>
  <c r="I48" i="1" s="1"/>
  <c r="Q46" i="1"/>
  <c r="H46" i="1"/>
  <c r="I46" i="1" s="1"/>
  <c r="Q44" i="1"/>
  <c r="H44" i="1"/>
  <c r="I44" i="1" s="1"/>
  <c r="Q42" i="1"/>
  <c r="H42" i="1"/>
  <c r="I42" i="1" s="1"/>
  <c r="Q40" i="1"/>
  <c r="H40" i="1"/>
  <c r="I40" i="1" s="1"/>
  <c r="Q38" i="1"/>
  <c r="H38" i="1"/>
  <c r="I38" i="1" s="1"/>
  <c r="Q36" i="1"/>
  <c r="H36" i="1"/>
  <c r="I36" i="1" s="1"/>
  <c r="Q34" i="1"/>
  <c r="H34" i="1"/>
  <c r="I34" i="1" s="1"/>
  <c r="H32" i="1"/>
  <c r="I32" i="1" s="1"/>
  <c r="Q30" i="1"/>
  <c r="H30" i="1"/>
  <c r="I30" i="1" s="1"/>
  <c r="Q28" i="1"/>
  <c r="H28" i="1"/>
  <c r="I28" i="1" s="1"/>
  <c r="Q26" i="1"/>
  <c r="H26" i="1"/>
  <c r="I26" i="1" s="1"/>
  <c r="Q24" i="1"/>
  <c r="H24" i="1"/>
  <c r="I24" i="1" s="1"/>
  <c r="Q22" i="1"/>
  <c r="H22" i="1"/>
  <c r="I22" i="1" s="1"/>
  <c r="Q20" i="1"/>
  <c r="H20" i="1"/>
  <c r="I20" i="1" s="1"/>
  <c r="Q18" i="1"/>
  <c r="H18" i="1"/>
  <c r="I18" i="1" s="1"/>
  <c r="Q16" i="1"/>
  <c r="H16" i="1"/>
  <c r="I16" i="1" s="1"/>
  <c r="Q14" i="1"/>
  <c r="H14" i="1"/>
  <c r="I14" i="1" s="1"/>
  <c r="Q12" i="1"/>
  <c r="H12" i="1"/>
  <c r="I12" i="1" s="1"/>
  <c r="H10" i="1"/>
  <c r="I10" i="1" s="1"/>
  <c r="Q8" i="1"/>
  <c r="H8" i="1"/>
  <c r="I8" i="1" s="1"/>
  <c r="Q6" i="1"/>
  <c r="H6" i="1"/>
  <c r="I6" i="1" s="1"/>
  <c r="Z8" i="1"/>
  <c r="Z12" i="1"/>
  <c r="Z16" i="1"/>
  <c r="Z20" i="1"/>
  <c r="Z24" i="1"/>
  <c r="Z28" i="1"/>
  <c r="Z32" i="1"/>
  <c r="Z36" i="1"/>
  <c r="Z40" i="1"/>
  <c r="Z44" i="1"/>
  <c r="Z48" i="1"/>
  <c r="Z52" i="1"/>
  <c r="Z56" i="1"/>
  <c r="Z60" i="1"/>
  <c r="Z64" i="1"/>
  <c r="Z68" i="1"/>
  <c r="Z72" i="1"/>
  <c r="Z76" i="1"/>
  <c r="Z80" i="1"/>
  <c r="Z84" i="1"/>
  <c r="Z88" i="1"/>
  <c r="Z92" i="1"/>
  <c r="Z96" i="1"/>
  <c r="Z100" i="1"/>
  <c r="Z85" i="1"/>
  <c r="Z93" i="1"/>
  <c r="Z101" i="1"/>
  <c r="Z7" i="1"/>
  <c r="Z11" i="1"/>
  <c r="Z15" i="1"/>
  <c r="Z19" i="1"/>
  <c r="Z23" i="1"/>
  <c r="Z27" i="1"/>
  <c r="Z31" i="1"/>
  <c r="Z35" i="1"/>
  <c r="Z39" i="1"/>
  <c r="Z43" i="1"/>
  <c r="Z47" i="1"/>
  <c r="Z51" i="1"/>
  <c r="Z55" i="1"/>
  <c r="Z59" i="1"/>
  <c r="Z63" i="1"/>
  <c r="Z67" i="1"/>
  <c r="Z71" i="1"/>
  <c r="Z75" i="1"/>
  <c r="Z79" i="1"/>
  <c r="Z83" i="1"/>
  <c r="Z91" i="1"/>
  <c r="Z99" i="1"/>
  <c r="Z10" i="1"/>
  <c r="Z18" i="1"/>
  <c r="Z26" i="1"/>
  <c r="Z34" i="1"/>
  <c r="Z42" i="1"/>
  <c r="Z50" i="1"/>
  <c r="Z58" i="1"/>
  <c r="Z66" i="1"/>
  <c r="Z74" i="1"/>
  <c r="Z82" i="1"/>
  <c r="Z90" i="1"/>
  <c r="Z98" i="1"/>
  <c r="Z89" i="1"/>
  <c r="Z103" i="1"/>
  <c r="Z13" i="1"/>
  <c r="Z21" i="1"/>
  <c r="Z29" i="1"/>
  <c r="Z37" i="1"/>
  <c r="Z45" i="1"/>
  <c r="Z53" i="1"/>
  <c r="Z61" i="1"/>
  <c r="Z69" i="1"/>
  <c r="Z77" i="1"/>
  <c r="Z87" i="1"/>
  <c r="F104" i="1"/>
  <c r="V83" i="1" l="1"/>
  <c r="W83" i="1" s="1"/>
  <c r="V88" i="1"/>
  <c r="W88" i="1" s="1"/>
  <c r="V82" i="1"/>
  <c r="W82" i="1" s="1"/>
  <c r="V45" i="1"/>
  <c r="W45" i="1" s="1"/>
  <c r="V50" i="1"/>
  <c r="W50" i="1" s="1"/>
  <c r="V16" i="1"/>
  <c r="W16" i="1" s="1"/>
  <c r="V62" i="1"/>
  <c r="W62" i="1" s="1"/>
  <c r="V51" i="1"/>
  <c r="W51" i="1" s="1"/>
  <c r="V96" i="1"/>
  <c r="W96" i="1" s="1"/>
  <c r="V92" i="1"/>
  <c r="W92" i="1" s="1"/>
  <c r="V73" i="1"/>
  <c r="W73" i="1" s="1"/>
  <c r="V32" i="1"/>
  <c r="W32" i="1" s="1"/>
  <c r="V66" i="1"/>
  <c r="W66" i="1" s="1"/>
  <c r="V29" i="1"/>
  <c r="W29" i="1" s="1"/>
  <c r="V67" i="1"/>
  <c r="W67" i="1" s="1"/>
  <c r="V18" i="1"/>
  <c r="W18" i="1" s="1"/>
  <c r="V23" i="1"/>
  <c r="W23" i="1" s="1"/>
  <c r="V77" i="1"/>
  <c r="W77" i="1" s="1"/>
  <c r="V46" i="1"/>
  <c r="W46" i="1" s="1"/>
  <c r="V78" i="1"/>
  <c r="W78" i="1" s="1"/>
  <c r="V34" i="1"/>
  <c r="W34" i="1" s="1"/>
  <c r="V79" i="1"/>
  <c r="W79" i="1" s="1"/>
  <c r="V22" i="1"/>
  <c r="W22" i="1" s="1"/>
  <c r="V41" i="1"/>
  <c r="W41" i="1" s="1"/>
  <c r="V89" i="1"/>
  <c r="W89" i="1" s="1"/>
  <c r="I95" i="1"/>
  <c r="I104" i="1" s="1"/>
  <c r="V95" i="1"/>
  <c r="W95" i="1" s="1"/>
  <c r="V101" i="1"/>
  <c r="W101" i="1" s="1"/>
  <c r="V94" i="1"/>
  <c r="W94" i="1" s="1"/>
  <c r="V13" i="1"/>
  <c r="W13" i="1" s="1"/>
  <c r="V40" i="1"/>
  <c r="W40" i="1" s="1"/>
  <c r="V56" i="1"/>
  <c r="W56" i="1" s="1"/>
  <c r="V6" i="1"/>
  <c r="W6" i="1" s="1"/>
  <c r="V57" i="1"/>
  <c r="W57" i="1" s="1"/>
  <c r="V100" i="1"/>
  <c r="W100" i="1" s="1"/>
  <c r="V44" i="1"/>
  <c r="W44" i="1" s="1"/>
  <c r="V60" i="1"/>
  <c r="W60" i="1" s="1"/>
  <c r="V76" i="1"/>
  <c r="W76" i="1" s="1"/>
  <c r="V11" i="1"/>
  <c r="W11" i="1" s="1"/>
  <c r="V61" i="1"/>
  <c r="W61" i="1" s="1"/>
  <c r="V93" i="1"/>
  <c r="W93" i="1" s="1"/>
  <c r="O9" i="1"/>
  <c r="V9" i="1" s="1"/>
  <c r="W9" i="1" s="1"/>
  <c r="O37" i="1"/>
  <c r="V37" i="1" s="1"/>
  <c r="W37" i="1" s="1"/>
  <c r="V7" i="1"/>
  <c r="W7" i="1" s="1"/>
  <c r="V24" i="1"/>
  <c r="W24" i="1" s="1"/>
  <c r="V38" i="1"/>
  <c r="W38" i="1" s="1"/>
  <c r="V54" i="1"/>
  <c r="W54" i="1" s="1"/>
  <c r="V70" i="1"/>
  <c r="W70" i="1" s="1"/>
  <c r="V86" i="1"/>
  <c r="W86" i="1" s="1"/>
  <c r="V30" i="1"/>
  <c r="W30" i="1" s="1"/>
  <c r="V21" i="1"/>
  <c r="W21" i="1" s="1"/>
  <c r="V39" i="1"/>
  <c r="W39" i="1" s="1"/>
  <c r="V55" i="1"/>
  <c r="W55" i="1" s="1"/>
  <c r="V71" i="1"/>
  <c r="W71" i="1" s="1"/>
  <c r="V87" i="1"/>
  <c r="W87" i="1" s="1"/>
  <c r="V10" i="1"/>
  <c r="W10" i="1" s="1"/>
  <c r="V26" i="1"/>
  <c r="W26" i="1" s="1"/>
  <c r="V48" i="1"/>
  <c r="W48" i="1" s="1"/>
  <c r="V64" i="1"/>
  <c r="W64" i="1" s="1"/>
  <c r="V80" i="1"/>
  <c r="W80" i="1" s="1"/>
  <c r="V97" i="1"/>
  <c r="W97" i="1" s="1"/>
  <c r="V15" i="1"/>
  <c r="W15" i="1" s="1"/>
  <c r="V31" i="1"/>
  <c r="W31" i="1" s="1"/>
  <c r="V49" i="1"/>
  <c r="W49" i="1" s="1"/>
  <c r="V65" i="1"/>
  <c r="W65" i="1" s="1"/>
  <c r="V81" i="1"/>
  <c r="W81" i="1" s="1"/>
  <c r="V98" i="1"/>
  <c r="W98" i="1" s="1"/>
  <c r="O33" i="1"/>
  <c r="V33" i="1" s="1"/>
  <c r="W33" i="1" s="1"/>
  <c r="V63" i="1"/>
  <c r="W63" i="1" s="1"/>
  <c r="V72" i="1"/>
  <c r="W72" i="1" s="1"/>
  <c r="Q101" i="1"/>
  <c r="V20" i="1"/>
  <c r="W20" i="1" s="1"/>
  <c r="Q32" i="1"/>
  <c r="V99" i="1"/>
  <c r="W99" i="1" s="1"/>
  <c r="V27" i="1"/>
  <c r="W27" i="1" s="1"/>
  <c r="V12" i="1"/>
  <c r="W12" i="1" s="1"/>
  <c r="V28" i="1"/>
  <c r="W28" i="1" s="1"/>
  <c r="V42" i="1"/>
  <c r="W42" i="1" s="1"/>
  <c r="V58" i="1"/>
  <c r="W58" i="1" s="1"/>
  <c r="V74" i="1"/>
  <c r="W74" i="1" s="1"/>
  <c r="V90" i="1"/>
  <c r="W90" i="1" s="1"/>
  <c r="V8" i="1"/>
  <c r="W8" i="1" s="1"/>
  <c r="V25" i="1"/>
  <c r="W25" i="1" s="1"/>
  <c r="V43" i="1"/>
  <c r="W43" i="1" s="1"/>
  <c r="V59" i="1"/>
  <c r="W59" i="1" s="1"/>
  <c r="V75" i="1"/>
  <c r="W75" i="1" s="1"/>
  <c r="V91" i="1"/>
  <c r="W91" i="1" s="1"/>
  <c r="V14" i="1"/>
  <c r="W14" i="1" s="1"/>
  <c r="V35" i="1"/>
  <c r="W35" i="1" s="1"/>
  <c r="V52" i="1"/>
  <c r="W52" i="1" s="1"/>
  <c r="V68" i="1"/>
  <c r="W68" i="1" s="1"/>
  <c r="V84" i="1"/>
  <c r="W84" i="1" s="1"/>
  <c r="V102" i="1"/>
  <c r="W102" i="1" s="1"/>
  <c r="V19" i="1"/>
  <c r="W19" i="1" s="1"/>
  <c r="V36" i="1"/>
  <c r="W36" i="1" s="1"/>
  <c r="V53" i="1"/>
  <c r="W53" i="1" s="1"/>
  <c r="V69" i="1"/>
  <c r="W69" i="1" s="1"/>
  <c r="V85" i="1"/>
  <c r="W85" i="1" s="1"/>
  <c r="V103" i="1"/>
  <c r="W103" i="1" s="1"/>
  <c r="Q17" i="1"/>
  <c r="Q10" i="1"/>
  <c r="P77" i="1"/>
  <c r="P45" i="1"/>
  <c r="P25" i="1"/>
  <c r="P13" i="1"/>
  <c r="P41" i="1"/>
  <c r="P35" i="1"/>
  <c r="P94" i="1"/>
  <c r="P102" i="1"/>
  <c r="P91" i="1"/>
  <c r="P101" i="1"/>
  <c r="P86" i="1"/>
  <c r="P71" i="1"/>
  <c r="P99" i="1"/>
  <c r="P93" i="1"/>
  <c r="Q81" i="1"/>
  <c r="P79" i="1"/>
  <c r="Q13" i="1"/>
  <c r="Q45" i="1"/>
  <c r="Q102" i="1"/>
  <c r="Q35" i="1"/>
  <c r="Q71" i="1"/>
  <c r="Q79" i="1"/>
  <c r="Q99" i="1"/>
  <c r="P55" i="1"/>
  <c r="Q25" i="1"/>
  <c r="Q41" i="1"/>
  <c r="Q49" i="1"/>
  <c r="Q77" i="1"/>
  <c r="Q86" i="1"/>
  <c r="Q91" i="1"/>
  <c r="Q94" i="1"/>
  <c r="Q7" i="1"/>
  <c r="Q23" i="1"/>
  <c r="Q55" i="1"/>
  <c r="P63" i="1"/>
  <c r="Q63" i="1"/>
  <c r="P100" i="1"/>
  <c r="Q100" i="1"/>
  <c r="P69" i="1"/>
  <c r="Q69" i="1"/>
  <c r="P90" i="1"/>
  <c r="Q90" i="1"/>
  <c r="P65" i="1"/>
  <c r="J104" i="1"/>
  <c r="P19" i="1"/>
  <c r="P47" i="1"/>
  <c r="P31" i="1"/>
  <c r="P85" i="1"/>
  <c r="P75" i="1"/>
  <c r="P73" i="1"/>
  <c r="P7" i="1"/>
  <c r="P83" i="1"/>
  <c r="P21" i="1"/>
  <c r="P53" i="1"/>
  <c r="P81" i="1"/>
  <c r="P39" i="1"/>
  <c r="P49" i="1"/>
  <c r="P23" i="1"/>
  <c r="P57" i="1"/>
  <c r="P27" i="1"/>
  <c r="P97" i="1"/>
  <c r="P89" i="1"/>
  <c r="L104" i="1"/>
  <c r="P29" i="1"/>
  <c r="P51" i="1"/>
  <c r="P61" i="1"/>
  <c r="P43" i="1"/>
  <c r="P59" i="1"/>
  <c r="P87" i="1"/>
  <c r="P95" i="1"/>
  <c r="P103" i="1"/>
  <c r="H104" i="1"/>
  <c r="P67" i="1"/>
  <c r="P11" i="1"/>
  <c r="P8" i="1"/>
  <c r="P12" i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8" i="1"/>
  <c r="P96" i="1"/>
  <c r="Z104" i="1"/>
  <c r="P15" i="1"/>
  <c r="P6" i="1"/>
  <c r="P10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17" i="1"/>
  <c r="P37" i="1" l="1"/>
  <c r="P33" i="1"/>
  <c r="O104" i="1"/>
  <c r="Q33" i="1"/>
  <c r="P9" i="1"/>
  <c r="Q37" i="1"/>
  <c r="Q9" i="1"/>
  <c r="V104" i="1"/>
  <c r="W104" i="1" l="1"/>
  <c r="X5" i="1" s="1"/>
  <c r="Y5" i="1" s="1"/>
  <c r="X80" i="1"/>
  <c r="X55" i="1"/>
  <c r="X40" i="1"/>
  <c r="X54" i="1"/>
  <c r="X97" i="1"/>
  <c r="X77" i="1"/>
  <c r="X103" i="1"/>
  <c r="X85" i="1"/>
  <c r="X96" i="1"/>
  <c r="X11" i="1"/>
  <c r="X59" i="1"/>
  <c r="X91" i="1"/>
  <c r="X38" i="1"/>
  <c r="X86" i="1"/>
  <c r="X73" i="1"/>
  <c r="X99" i="1"/>
  <c r="X76" i="1"/>
  <c r="X15" i="1"/>
  <c r="X47" i="1"/>
  <c r="X87" i="1"/>
  <c r="X34" i="1"/>
  <c r="X74" i="1"/>
  <c r="X21" i="1"/>
  <c r="X53" i="1"/>
  <c r="X16" i="1"/>
  <c r="X32" i="1"/>
  <c r="X56" i="1"/>
  <c r="X98" i="1"/>
  <c r="X19" i="1"/>
  <c r="X35" i="1"/>
  <c r="X51" i="1"/>
  <c r="X67" i="1"/>
  <c r="X83" i="1"/>
  <c r="X7" i="1"/>
  <c r="X22" i="1"/>
  <c r="X46" i="1"/>
  <c r="X78" i="1"/>
  <c r="X9" i="1"/>
  <c r="X41" i="1"/>
  <c r="X65" i="1"/>
  <c r="X81" i="1"/>
  <c r="X101" i="1"/>
  <c r="X20" i="1"/>
  <c r="X36" i="1"/>
  <c r="X84" i="1"/>
  <c r="X6" i="1"/>
  <c r="X23" i="1"/>
  <c r="X39" i="1"/>
  <c r="X63" i="1"/>
  <c r="X79" i="1"/>
  <c r="X95" i="1"/>
  <c r="X26" i="1"/>
  <c r="X50" i="1"/>
  <c r="X66" i="1"/>
  <c r="X90" i="1"/>
  <c r="X13" i="1"/>
  <c r="X29" i="1"/>
  <c r="X45" i="1"/>
  <c r="X61" i="1"/>
  <c r="X8" i="1"/>
  <c r="X24" i="1"/>
  <c r="X48" i="1"/>
  <c r="X88" i="1"/>
  <c r="X27" i="1"/>
  <c r="X43" i="1"/>
  <c r="X75" i="1"/>
  <c r="X14" i="1"/>
  <c r="X62" i="1"/>
  <c r="X33" i="1"/>
  <c r="X49" i="1"/>
  <c r="X89" i="1"/>
  <c r="X28" i="1"/>
  <c r="X92" i="1"/>
  <c r="X31" i="1"/>
  <c r="X71" i="1"/>
  <c r="X18" i="1"/>
  <c r="X58" i="1"/>
  <c r="X100" i="1"/>
  <c r="X37" i="1"/>
  <c r="X69" i="1"/>
  <c r="X30" i="1" l="1"/>
  <c r="X25" i="1"/>
  <c r="X72" i="1"/>
  <c r="X68" i="1"/>
  <c r="X94" i="1"/>
  <c r="X52" i="1"/>
  <c r="X57" i="1"/>
  <c r="X102" i="1"/>
  <c r="X60" i="1"/>
  <c r="X12" i="1"/>
  <c r="X44" i="1"/>
  <c r="X64" i="1"/>
  <c r="X42" i="1"/>
  <c r="X82" i="1"/>
  <c r="X10" i="1"/>
  <c r="X70" i="1"/>
  <c r="X93" i="1"/>
  <c r="X17" i="1"/>
  <c r="X104" i="1" l="1"/>
  <c r="Y104" i="1"/>
  <c r="AB104" i="1" s="1"/>
</calcChain>
</file>

<file path=xl/sharedStrings.xml><?xml version="1.0" encoding="utf-8"?>
<sst xmlns="http://schemas.openxmlformats.org/spreadsheetml/2006/main" count="188" uniqueCount="159">
  <si>
    <t>County</t>
  </si>
  <si>
    <t>Co #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</si>
  <si>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</si>
  <si>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</si>
  <si>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</si>
  <si>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</si>
  <si>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</si>
  <si>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</si>
  <si>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</si>
  <si>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</si>
  <si>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</si>
  <si>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</si>
  <si>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</si>
  <si>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</si>
  <si>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</si>
  <si>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</si>
  <si>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</si>
  <si>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</si>
  <si>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</si>
  <si>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</si>
  <si>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</si>
  <si>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</si>
  <si>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</si>
  <si>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</si>
  <si>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</si>
  <si>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</si>
  <si>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</si>
  <si>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</si>
  <si>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</si>
  <si>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</si>
  <si>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</si>
  <si>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</si>
  <si>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</si>
  <si>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</si>
  <si>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</si>
  <si>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</si>
  <si>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</si>
  <si>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</si>
  <si>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</si>
  <si>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</si>
  <si>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</si>
  <si>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</si>
  <si>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</si>
  <si>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</si>
  <si>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</si>
  <si>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</si>
  <si>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</si>
  <si>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</si>
  <si>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</si>
  <si>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</si>
  <si>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</si>
  <si>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</si>
  <si>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</si>
  <si>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</si>
  <si>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</si>
  <si>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</si>
  <si>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</si>
  <si>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</si>
  <si>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</si>
  <si>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</si>
  <si>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</si>
  <si>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</si>
  <si>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</si>
  <si>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</si>
  <si>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</si>
  <si>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</si>
  <si>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</si>
  <si>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</si>
  <si>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</si>
  <si>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</si>
  <si>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</si>
  <si>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</si>
  <si>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</si>
  <si>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</si>
  <si>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</si>
  <si>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</si>
  <si>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</si>
  <si>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</si>
  <si>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</si>
  <si>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</si>
  <si>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</si>
  <si>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</si>
  <si>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</si>
  <si>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</si>
  <si>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</si>
  <si>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</si>
  <si>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</si>
  <si>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</si>
  <si>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</si>
  <si>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</si>
  <si>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</si>
  <si>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</si>
  <si>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</si>
  <si>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</si>
  <si>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</si>
  <si>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</si>
  <si>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</si>
  <si>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</si>
  <si>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</si>
  <si>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</si>
  <si>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</si>
  <si>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3 Year Total</t>
  </si>
  <si>
    <t>3 Year Average</t>
  </si>
  <si>
    <t>Reallocation Factor</t>
  </si>
  <si>
    <t>Reallocation</t>
  </si>
  <si>
    <t>Counties' Estimated Federal Bridge Fund Allocation:</t>
  </si>
  <si>
    <t>Rounded Counties' Estimated Federal Bridge Fund Allocation:</t>
  </si>
  <si>
    <t>Iowa's Final Federal Bridge Fund Allocation:</t>
  </si>
  <si>
    <t>Counties' Final Federal Bridge Fund Allocation:</t>
  </si>
  <si>
    <t>Estimated Obligation Limitation:</t>
  </si>
  <si>
    <t>Final Obligation Limitation</t>
  </si>
  <si>
    <t>Actual Low Bids</t>
  </si>
  <si>
    <t>Contract Amt</t>
  </si>
  <si>
    <t>Total Contract</t>
  </si>
  <si>
    <t>HBP Allocation</t>
  </si>
  <si>
    <t>HBP Funding</t>
  </si>
  <si>
    <t>Est. Allocation to counties not losing money</t>
  </si>
  <si>
    <t>Updated:</t>
  </si>
  <si>
    <t>Counties' percentage (compared to cities):</t>
  </si>
  <si>
    <t>Iowa's Estimated STP Bridge Fund Allocation:</t>
  </si>
  <si>
    <t>6 Year Borrow Ahead Available  to Let</t>
  </si>
  <si>
    <t>Consultant</t>
  </si>
  <si>
    <t>Contracts</t>
  </si>
  <si>
    <t>Highway Bridge Program (HBP) Funding - FFY 2020</t>
  </si>
  <si>
    <t>FFY 2020 Allocation Factor</t>
  </si>
  <si>
    <t>&lt;From Shawn Majors</t>
  </si>
  <si>
    <t>Actual
FFY2019
Ending Balance</t>
  </si>
  <si>
    <t>Estimated FFY2020 Beginning Balance</t>
  </si>
  <si>
    <t>Let Amounts November 2019 - October 2020</t>
  </si>
  <si>
    <t>Estimated FFY2020
Ending
Balance</t>
  </si>
  <si>
    <t>Amount to be reallocated at end of FFY 2020 (if not spent by then)</t>
  </si>
  <si>
    <t>November 2020</t>
  </si>
  <si>
    <t>December 2020</t>
  </si>
  <si>
    <t>Actual FFY2020
Allocation</t>
  </si>
  <si>
    <t>Actual
FFY2020
Ending
Balance</t>
  </si>
  <si>
    <t>Highway Bridge Program (HBP) - FFY 2020</t>
  </si>
  <si>
    <t>Counties' Estimated FFY2019 Bridge Replacement &amp; Rehab. (Additional $):</t>
  </si>
  <si>
    <t>Years Fund Accum       (Without 2019 Bridge Repl. &amp; Rehab)</t>
  </si>
  <si>
    <t>FFY2019 Bridge Repl. &amp; Rehab 
(Actual)</t>
  </si>
  <si>
    <t>FFY2020
(Estimated)</t>
  </si>
  <si>
    <t>FFY2019
(Actual)</t>
  </si>
  <si>
    <t>FFY2018
(Actual)</t>
  </si>
  <si>
    <t>Includes contract amount for project BRS-SWAP-0127(601)--FF-19 which used City Bridge Funds.</t>
  </si>
  <si>
    <t>Split with Lee County</t>
  </si>
  <si>
    <t>Split with Henry County</t>
  </si>
  <si>
    <t>*Project BRS-SWAP-6012(601)-FF-97 also let with Woodbury County as contracting authority but all city funds.</t>
  </si>
  <si>
    <t>3 Year Total           (W/ 2019 Bridge Repl. &amp; Rehab)</t>
  </si>
  <si>
    <t>Letting deadline of October for project that was let in September to avoid losing funds.</t>
  </si>
  <si>
    <t>Benton County awarded County-State bridge funds at 80%.  Remainder split with Tama County.  Half of contract value shown for each county.</t>
  </si>
  <si>
    <t>Extension allowed by Executive Board through Feburary 2021 letting.</t>
  </si>
  <si>
    <t>Overage due to "extra" money only.  Reallocation waived by Executive Board.</t>
  </si>
  <si>
    <t>"Last Chance" Lettings</t>
  </si>
  <si>
    <t>Ringgold/Taylor shared County-State Bridge project (065) let 12/19/17 - 10% share of project funds for project should have been covered by Taylor County</t>
  </si>
  <si>
    <t>From final FFY20 Apportionments PDF</t>
  </si>
  <si>
    <t>Counties' Final FFY2019 Bridge Replacement &amp; Rehab. (Additional $):</t>
  </si>
  <si>
    <t>FFY2019 Bridge Repl. &amp; Rehab (Actual)</t>
  </si>
  <si>
    <t>copy to col.F in21</t>
  </si>
  <si>
    <t>copy to col.G in21</t>
  </si>
  <si>
    <t>copy to col.M in21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</si>
</sst>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#,##0.000000000_);[Red]\(#,##0.000000000\)"/>
    <numFmt numFmtId="166" formatCode="&quot;$&quot;#,##0.00"/>
    <numFmt numFmtId="167" formatCode="0.00000000"/>
    <numFmt numFmtId="168" formatCode="[$-409]mmmm\ d\,\ yyyy;@"/>
    <numFmt numFmtId="169" formatCode="#,##0.0_);[Red]\(#,##0.0\)"/>
  </numFmts>
  <fonts count="1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pple Chancery"/>
      <family val="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pple Chancery"/>
      <family val="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double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01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8" fontId="10" fillId="0" borderId="0" xfId="0" applyNumberFormat="1" applyFont="1" applyAlignment="1">
      <alignment horizontal="left"/>
    </xf>
    <xf numFmtId="40" fontId="10" fillId="0" borderId="0" xfId="0" applyNumberFormat="1" applyFont="1" applyAlignment="1">
      <alignment horizontal="left" vertical="center"/>
    </xf>
    <xf numFmtId="166" fontId="8" fillId="0" borderId="23" xfId="0" applyNumberFormat="1" applyFont="1" applyFill="1" applyBorder="1" applyAlignment="1" applyProtection="1">
      <alignment horizontal="right" vertical="center"/>
    </xf>
    <xf numFmtId="166" fontId="8" fillId="0" borderId="24" xfId="0" applyNumberFormat="1" applyFont="1" applyFill="1" applyBorder="1" applyAlignment="1" applyProtection="1">
      <alignment horizontal="right" vertical="center"/>
    </xf>
    <xf numFmtId="166" fontId="9" fillId="0" borderId="23" xfId="0" applyNumberFormat="1" applyFont="1" applyFill="1" applyBorder="1" applyAlignment="1" applyProtection="1">
      <alignment horizontal="right" vertical="center"/>
    </xf>
    <xf numFmtId="166" fontId="9" fillId="0" borderId="24" xfId="0" applyNumberFormat="1" applyFont="1" applyFill="1" applyBorder="1" applyAlignment="1" applyProtection="1">
      <alignment horizontal="right" vertical="center"/>
    </xf>
    <xf numFmtId="166" fontId="8" fillId="0" borderId="48" xfId="0" applyNumberFormat="1" applyFont="1" applyFill="1" applyBorder="1" applyAlignment="1" applyProtection="1">
      <alignment horizontal="right" vertical="center"/>
    </xf>
    <xf numFmtId="166" fontId="8" fillId="0" borderId="5" xfId="0" applyNumberFormat="1" applyFont="1" applyFill="1" applyBorder="1" applyAlignment="1" applyProtection="1">
      <alignment horizontal="right" vertical="center"/>
    </xf>
    <xf numFmtId="166" fontId="9" fillId="0" borderId="4" xfId="0" applyNumberFormat="1" applyFont="1" applyFill="1" applyBorder="1" applyAlignment="1" applyProtection="1">
      <alignment horizontal="right" vertical="center"/>
    </xf>
    <xf numFmtId="166" fontId="9" fillId="0" borderId="7" xfId="0" applyNumberFormat="1" applyFont="1" applyFill="1" applyBorder="1" applyAlignment="1" applyProtection="1">
      <alignment horizontal="right" vertical="center"/>
    </xf>
    <xf numFmtId="166" fontId="8" fillId="0" borderId="0" xfId="0" applyNumberFormat="1" applyFont="1" applyFill="1" applyAlignment="1" applyProtection="1"/>
    <xf numFmtId="14" fontId="8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66" fontId="8" fillId="0" borderId="0" xfId="0" applyNumberFormat="1" applyFont="1" applyFill="1" applyAlignment="1" applyProtection="1">
      <alignment horizontal="left"/>
    </xf>
    <xf numFmtId="4" fontId="8" fillId="0" borderId="0" xfId="1" applyNumberFormat="1" applyFont="1" applyAlignment="1" applyProtection="1">
      <alignment horizontal="left"/>
    </xf>
    <xf numFmtId="4" fontId="8" fillId="0" borderId="0" xfId="1" applyNumberFormat="1" applyFont="1" applyAlignment="1" applyProtection="1">
      <alignment horizontal="center"/>
    </xf>
    <xf numFmtId="0" fontId="9" fillId="0" borderId="0" xfId="0" applyFont="1" applyProtection="1"/>
    <xf numFmtId="166" fontId="9" fillId="0" borderId="0" xfId="0" applyNumberFormat="1" applyFont="1" applyProtection="1"/>
    <xf numFmtId="44" fontId="9" fillId="0" borderId="0" xfId="1" applyFont="1" applyProtection="1"/>
    <xf numFmtId="44" fontId="0" fillId="0" borderId="0" xfId="1" applyFont="1" applyProtection="1"/>
    <xf numFmtId="0" fontId="9" fillId="0" borderId="0" xfId="0" applyFont="1" applyFill="1" applyProtection="1"/>
    <xf numFmtId="0" fontId="6" fillId="0" borderId="0" xfId="0" applyFont="1" applyProtection="1"/>
    <xf numFmtId="44" fontId="9" fillId="0" borderId="0" xfId="1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44" fontId="9" fillId="0" borderId="44" xfId="1" applyFont="1" applyBorder="1" applyAlignment="1" applyProtection="1">
      <alignment horizontal="center" vertical="center"/>
    </xf>
    <xf numFmtId="5" fontId="1" fillId="0" borderId="31" xfId="0" applyNumberFormat="1" applyFont="1" applyFill="1" applyBorder="1" applyAlignment="1" applyProtection="1">
      <alignment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" fontId="9" fillId="0" borderId="11" xfId="1" applyNumberFormat="1" applyFont="1" applyBorder="1" applyAlignment="1" applyProtection="1">
      <alignment horizontal="center" vertical="center"/>
    </xf>
    <xf numFmtId="4" fontId="9" fillId="0" borderId="12" xfId="1" applyNumberFormat="1" applyFont="1" applyBorder="1" applyAlignment="1" applyProtection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166" fontId="9" fillId="0" borderId="1" xfId="0" applyNumberFormat="1" applyFont="1" applyBorder="1" applyAlignment="1" applyProtection="1">
      <alignment horizontal="center" vertical="center"/>
    </xf>
    <xf numFmtId="166" fontId="9" fillId="0" borderId="12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166" fontId="9" fillId="0" borderId="11" xfId="0" applyNumberFormat="1" applyFont="1" applyBorder="1" applyAlignment="1" applyProtection="1">
      <alignment horizontal="center" vertical="center"/>
    </xf>
    <xf numFmtId="44" fontId="9" fillId="0" borderId="19" xfId="1" applyFont="1" applyBorder="1" applyAlignment="1" applyProtection="1">
      <alignment horizontal="center" vertical="center"/>
    </xf>
    <xf numFmtId="44" fontId="9" fillId="0" borderId="12" xfId="1" applyFont="1" applyBorder="1" applyAlignment="1" applyProtection="1">
      <alignment horizontal="center" vertical="center"/>
    </xf>
    <xf numFmtId="44" fontId="9" fillId="0" borderId="45" xfId="1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5" fontId="9" fillId="0" borderId="0" xfId="0" applyNumberFormat="1" applyFont="1" applyProtection="1"/>
    <xf numFmtId="37" fontId="9" fillId="0" borderId="3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166" fontId="9" fillId="0" borderId="13" xfId="0" applyNumberFormat="1" applyFont="1" applyFill="1" applyBorder="1" applyAlignment="1" applyProtection="1">
      <alignment horizontal="right" vertical="center"/>
    </xf>
    <xf numFmtId="8" fontId="9" fillId="0" borderId="25" xfId="0" applyNumberFormat="1" applyFont="1" applyFill="1" applyBorder="1" applyAlignment="1" applyProtection="1">
      <alignment horizontal="right" vertical="center"/>
    </xf>
    <xf numFmtId="8" fontId="8" fillId="0" borderId="23" xfId="0" applyNumberFormat="1" applyFont="1" applyFill="1" applyBorder="1" applyAlignment="1" applyProtection="1">
      <alignment horizontal="right" vertical="center"/>
    </xf>
    <xf numFmtId="40" fontId="9" fillId="0" borderId="23" xfId="0" applyNumberFormat="1" applyFont="1" applyFill="1" applyBorder="1" applyAlignment="1" applyProtection="1">
      <alignment horizontal="right" vertical="center"/>
    </xf>
    <xf numFmtId="164" fontId="9" fillId="0" borderId="35" xfId="0" applyNumberFormat="1" applyFont="1" applyFill="1" applyBorder="1" applyAlignment="1" applyProtection="1">
      <alignment horizontal="right" vertical="center"/>
    </xf>
    <xf numFmtId="8" fontId="9" fillId="0" borderId="4" xfId="0" applyNumberFormat="1" applyFont="1" applyFill="1" applyBorder="1" applyAlignment="1" applyProtection="1">
      <alignment horizontal="right" vertical="center"/>
    </xf>
    <xf numFmtId="166" fontId="8" fillId="0" borderId="15" xfId="0" applyNumberFormat="1" applyFont="1" applyFill="1" applyBorder="1" applyAlignment="1" applyProtection="1">
      <alignment horizontal="right" vertical="center"/>
    </xf>
    <xf numFmtId="165" fontId="9" fillId="0" borderId="23" xfId="0" applyNumberFormat="1" applyFont="1" applyBorder="1" applyAlignment="1" applyProtection="1">
      <alignment horizontal="right" vertical="center"/>
    </xf>
    <xf numFmtId="8" fontId="9" fillId="0" borderId="25" xfId="0" applyNumberFormat="1" applyFont="1" applyBorder="1" applyAlignment="1" applyProtection="1">
      <alignment horizontal="right" vertical="center"/>
    </xf>
    <xf numFmtId="8" fontId="9" fillId="0" borderId="15" xfId="1" applyNumberFormat="1" applyFont="1" applyFill="1" applyBorder="1" applyAlignment="1" applyProtection="1">
      <alignment horizontal="right" vertical="center"/>
    </xf>
    <xf numFmtId="8" fontId="9" fillId="0" borderId="13" xfId="1" applyNumberFormat="1" applyFont="1" applyFill="1" applyBorder="1" applyAlignment="1" applyProtection="1">
      <alignment horizontal="right" vertical="center"/>
    </xf>
    <xf numFmtId="8" fontId="9" fillId="0" borderId="15" xfId="0" applyNumberFormat="1" applyFont="1" applyFill="1" applyBorder="1" applyAlignment="1" applyProtection="1">
      <alignment horizontal="right" vertical="center"/>
    </xf>
    <xf numFmtId="8" fontId="9" fillId="0" borderId="18" xfId="0" applyNumberFormat="1" applyFont="1" applyFill="1" applyBorder="1" applyAlignment="1" applyProtection="1">
      <alignment horizontal="right" vertical="center"/>
    </xf>
    <xf numFmtId="7" fontId="9" fillId="0" borderId="0" xfId="0" applyNumberFormat="1" applyFont="1" applyFill="1" applyBorder="1" applyAlignment="1" applyProtection="1">
      <alignment horizontal="right" vertical="center"/>
    </xf>
    <xf numFmtId="7" fontId="9" fillId="0" borderId="13" xfId="0" applyNumberFormat="1" applyFont="1" applyFill="1" applyBorder="1" applyAlignment="1" applyProtection="1">
      <alignment horizontal="right" vertical="center"/>
    </xf>
    <xf numFmtId="7" fontId="9" fillId="0" borderId="18" xfId="0" applyNumberFormat="1" applyFont="1" applyFill="1" applyBorder="1" applyAlignment="1" applyProtection="1">
      <alignment horizontal="right" vertical="center"/>
    </xf>
    <xf numFmtId="7" fontId="9" fillId="0" borderId="0" xfId="1" applyNumberFormat="1" applyFont="1" applyFill="1" applyBorder="1" applyAlignment="1" applyProtection="1">
      <alignment horizontal="right" vertical="center"/>
    </xf>
    <xf numFmtId="7" fontId="9" fillId="0" borderId="13" xfId="1" applyNumberFormat="1" applyFont="1" applyFill="1" applyBorder="1" applyAlignment="1" applyProtection="1">
      <alignment horizontal="right" vertical="center"/>
    </xf>
    <xf numFmtId="7" fontId="9" fillId="0" borderId="5" xfId="0" applyNumberFormat="1" applyFont="1" applyFill="1" applyBorder="1" applyAlignment="1" applyProtection="1">
      <alignment horizontal="right" vertical="center"/>
    </xf>
    <xf numFmtId="7" fontId="9" fillId="0" borderId="13" xfId="0" applyNumberFormat="1" applyFont="1" applyFill="1" applyBorder="1" applyProtection="1"/>
    <xf numFmtId="44" fontId="2" fillId="0" borderId="42" xfId="1" applyFont="1" applyFill="1" applyBorder="1" applyProtection="1"/>
    <xf numFmtId="164" fontId="9" fillId="0" borderId="41" xfId="0" applyNumberFormat="1" applyFont="1" applyFill="1" applyBorder="1" applyAlignment="1" applyProtection="1">
      <alignment horizontal="right" vertical="center"/>
    </xf>
    <xf numFmtId="40" fontId="9" fillId="0" borderId="15" xfId="1" applyNumberFormat="1" applyFont="1" applyFill="1" applyBorder="1" applyAlignment="1" applyProtection="1">
      <alignment horizontal="right" vertical="center"/>
    </xf>
    <xf numFmtId="40" fontId="9" fillId="0" borderId="13" xfId="1" applyNumberFormat="1" applyFont="1" applyFill="1" applyBorder="1" applyAlignment="1" applyProtection="1">
      <alignment horizontal="right" vertical="center"/>
    </xf>
    <xf numFmtId="40" fontId="9" fillId="0" borderId="15" xfId="0" applyNumberFormat="1" applyFont="1" applyFill="1" applyBorder="1" applyAlignment="1" applyProtection="1">
      <alignment horizontal="right" vertical="center"/>
    </xf>
    <xf numFmtId="40" fontId="9" fillId="0" borderId="13" xfId="0" applyNumberFormat="1" applyFont="1" applyFill="1" applyBorder="1" applyAlignment="1" applyProtection="1">
      <alignment horizontal="right" vertical="center"/>
    </xf>
    <xf numFmtId="7" fontId="9" fillId="0" borderId="15" xfId="0" applyNumberFormat="1" applyFont="1" applyFill="1" applyBorder="1" applyAlignment="1" applyProtection="1">
      <alignment horizontal="right" vertical="center"/>
    </xf>
    <xf numFmtId="7" fontId="6" fillId="0" borderId="0" xfId="0" applyNumberFormat="1" applyFont="1" applyFill="1" applyProtection="1"/>
    <xf numFmtId="166" fontId="9" fillId="0" borderId="15" xfId="1" applyNumberFormat="1" applyFont="1" applyFill="1" applyBorder="1" applyAlignment="1" applyProtection="1">
      <alignment horizontal="right" vertical="center"/>
    </xf>
    <xf numFmtId="166" fontId="9" fillId="0" borderId="13" xfId="1" applyNumberFormat="1" applyFont="1" applyFill="1" applyBorder="1" applyAlignment="1" applyProtection="1">
      <alignment horizontal="right" vertical="center"/>
    </xf>
    <xf numFmtId="7" fontId="2" fillId="0" borderId="0" xfId="0" applyNumberFormat="1" applyFont="1" applyFill="1" applyBorder="1" applyAlignment="1" applyProtection="1">
      <alignment horizontal="right" vertical="center"/>
    </xf>
    <xf numFmtId="7" fontId="6" fillId="0" borderId="13" xfId="0" applyNumberFormat="1" applyFont="1" applyFill="1" applyBorder="1" applyProtection="1"/>
    <xf numFmtId="5" fontId="9" fillId="0" borderId="1" xfId="0" applyNumberFormat="1" applyFont="1" applyBorder="1" applyProtection="1"/>
    <xf numFmtId="37" fontId="9" fillId="0" borderId="6" xfId="0" applyNumberFormat="1" applyFont="1" applyBorder="1" applyAlignment="1" applyProtection="1">
      <alignment horizontal="center"/>
    </xf>
    <xf numFmtId="0" fontId="9" fillId="0" borderId="46" xfId="0" applyFont="1" applyBorder="1" applyAlignment="1" applyProtection="1">
      <alignment horizontal="right"/>
    </xf>
    <xf numFmtId="166" fontId="9" fillId="0" borderId="12" xfId="0" applyNumberFormat="1" applyFont="1" applyFill="1" applyBorder="1" applyAlignment="1" applyProtection="1">
      <alignment horizontal="right" vertical="center"/>
    </xf>
    <xf numFmtId="8" fontId="9" fillId="0" borderId="28" xfId="0" applyNumberFormat="1" applyFont="1" applyFill="1" applyBorder="1" applyAlignment="1" applyProtection="1">
      <alignment horizontal="right" vertical="center"/>
    </xf>
    <xf numFmtId="8" fontId="8" fillId="0" borderId="24" xfId="0" applyNumberFormat="1" applyFont="1" applyFill="1" applyBorder="1" applyAlignment="1" applyProtection="1">
      <alignment horizontal="right" vertical="center"/>
    </xf>
    <xf numFmtId="40" fontId="9" fillId="0" borderId="24" xfId="0" applyNumberFormat="1" applyFont="1" applyFill="1" applyBorder="1" applyAlignment="1" applyProtection="1">
      <alignment horizontal="right" vertical="center"/>
    </xf>
    <xf numFmtId="164" fontId="9" fillId="0" borderId="19" xfId="0" applyNumberFormat="1" applyFont="1" applyFill="1" applyBorder="1" applyAlignment="1" applyProtection="1">
      <alignment horizontal="right" vertical="center"/>
    </xf>
    <xf numFmtId="166" fontId="8" fillId="0" borderId="11" xfId="0" applyNumberFormat="1" applyFont="1" applyFill="1" applyBorder="1" applyAlignment="1" applyProtection="1">
      <alignment horizontal="right" vertical="center"/>
    </xf>
    <xf numFmtId="165" fontId="9" fillId="0" borderId="24" xfId="0" applyNumberFormat="1" applyFont="1" applyBorder="1" applyAlignment="1" applyProtection="1">
      <alignment horizontal="right" vertical="center"/>
    </xf>
    <xf numFmtId="8" fontId="9" fillId="0" borderId="22" xfId="0" applyNumberFormat="1" applyFont="1" applyBorder="1" applyAlignment="1" applyProtection="1">
      <alignment horizontal="right" vertical="center"/>
    </xf>
    <xf numFmtId="40" fontId="9" fillId="0" borderId="11" xfId="1" applyNumberFormat="1" applyFont="1" applyFill="1" applyBorder="1" applyAlignment="1" applyProtection="1">
      <alignment horizontal="right" vertical="center"/>
    </xf>
    <xf numFmtId="40" fontId="9" fillId="0" borderId="12" xfId="1" applyNumberFormat="1" applyFont="1" applyFill="1" applyBorder="1" applyAlignment="1" applyProtection="1">
      <alignment horizontal="right" vertical="center"/>
    </xf>
    <xf numFmtId="40" fontId="9" fillId="0" borderId="11" xfId="0" applyNumberFormat="1" applyFont="1" applyFill="1" applyBorder="1" applyAlignment="1" applyProtection="1">
      <alignment horizontal="right" vertical="center"/>
    </xf>
    <xf numFmtId="40" fontId="9" fillId="0" borderId="12" xfId="0" applyNumberFormat="1" applyFont="1" applyFill="1" applyBorder="1" applyAlignment="1" applyProtection="1">
      <alignment horizontal="right" vertical="center"/>
    </xf>
    <xf numFmtId="7" fontId="9" fillId="0" borderId="1" xfId="0" applyNumberFormat="1" applyFont="1" applyFill="1" applyBorder="1" applyAlignment="1" applyProtection="1">
      <alignment horizontal="right" vertical="center"/>
    </xf>
    <xf numFmtId="7" fontId="9" fillId="0" borderId="12" xfId="0" applyNumberFormat="1" applyFont="1" applyFill="1" applyBorder="1" applyAlignment="1" applyProtection="1">
      <alignment horizontal="right" vertical="center"/>
    </xf>
    <xf numFmtId="7" fontId="9" fillId="0" borderId="1" xfId="1" applyNumberFormat="1" applyFont="1" applyFill="1" applyBorder="1" applyAlignment="1" applyProtection="1">
      <alignment horizontal="right" vertical="center"/>
    </xf>
    <xf numFmtId="7" fontId="9" fillId="0" borderId="12" xfId="1" applyNumberFormat="1" applyFont="1" applyFill="1" applyBorder="1" applyAlignment="1" applyProtection="1">
      <alignment horizontal="right" vertical="center"/>
    </xf>
    <xf numFmtId="7" fontId="9" fillId="0" borderId="2" xfId="0" applyNumberFormat="1" applyFont="1" applyFill="1" applyBorder="1" applyAlignment="1" applyProtection="1">
      <alignment horizontal="right" vertical="center"/>
    </xf>
    <xf numFmtId="7" fontId="9" fillId="0" borderId="12" xfId="0" applyNumberFormat="1" applyFont="1" applyFill="1" applyBorder="1" applyProtection="1"/>
    <xf numFmtId="44" fontId="2" fillId="0" borderId="43" xfId="1" applyFont="1" applyFill="1" applyBorder="1" applyProtection="1"/>
    <xf numFmtId="5" fontId="9" fillId="0" borderId="0" xfId="0" applyNumberFormat="1" applyFont="1" applyBorder="1" applyProtection="1"/>
    <xf numFmtId="0" fontId="6" fillId="0" borderId="0" xfId="0" applyFont="1" applyFill="1" applyProtection="1"/>
    <xf numFmtId="166" fontId="9" fillId="0" borderId="15" xfId="0" applyNumberFormat="1" applyFont="1" applyFill="1" applyBorder="1" applyAlignment="1" applyProtection="1">
      <alignment horizontal="right" vertical="center"/>
    </xf>
    <xf numFmtId="166" fontId="9" fillId="0" borderId="11" xfId="1" applyNumberFormat="1" applyFont="1" applyFill="1" applyBorder="1" applyAlignment="1" applyProtection="1">
      <alignment horizontal="right" vertical="center"/>
    </xf>
    <xf numFmtId="166" fontId="9" fillId="0" borderId="12" xfId="1" applyNumberFormat="1" applyFont="1" applyFill="1" applyBorder="1" applyAlignment="1" applyProtection="1">
      <alignment horizontal="right" vertical="center"/>
    </xf>
    <xf numFmtId="166" fontId="9" fillId="0" borderId="5" xfId="0" applyNumberFormat="1" applyFont="1" applyFill="1" applyBorder="1" applyAlignment="1" applyProtection="1">
      <alignment horizontal="right" vertical="center"/>
    </xf>
    <xf numFmtId="166" fontId="9" fillId="0" borderId="13" xfId="0" applyNumberFormat="1" applyFont="1" applyFill="1" applyBorder="1" applyProtection="1"/>
    <xf numFmtId="7" fontId="9" fillId="0" borderId="0" xfId="0" applyNumberFormat="1" applyFont="1" applyFill="1" applyProtection="1"/>
    <xf numFmtId="166" fontId="9" fillId="0" borderId="23" xfId="0" applyNumberFormat="1" applyFont="1" applyBorder="1" applyAlignment="1" applyProtection="1">
      <alignment horizontal="right" vertical="center"/>
    </xf>
    <xf numFmtId="166" fontId="9" fillId="0" borderId="4" xfId="0" applyNumberFormat="1" applyFont="1" applyBorder="1" applyAlignment="1" applyProtection="1">
      <alignment horizontal="right" vertical="center"/>
    </xf>
    <xf numFmtId="7" fontId="2" fillId="0" borderId="13" xfId="0" applyNumberFormat="1" applyFont="1" applyFill="1" applyBorder="1" applyProtection="1"/>
    <xf numFmtId="44" fontId="12" fillId="0" borderId="0" xfId="1" applyFont="1" applyProtection="1"/>
    <xf numFmtId="166" fontId="9" fillId="0" borderId="13" xfId="1" applyNumberFormat="1" applyFont="1" applyBorder="1" applyProtection="1"/>
    <xf numFmtId="40" fontId="9" fillId="0" borderId="15" xfId="0" applyNumberFormat="1" applyFont="1" applyFill="1" applyBorder="1" applyAlignment="1" applyProtection="1">
      <alignment horizontal="right" vertical="center" wrapText="1"/>
    </xf>
    <xf numFmtId="5" fontId="9" fillId="0" borderId="1" xfId="0" applyNumberFormat="1" applyFont="1" applyFill="1" applyBorder="1" applyProtection="1"/>
    <xf numFmtId="37" fontId="9" fillId="0" borderId="6" xfId="0" applyNumberFormat="1" applyFont="1" applyFill="1" applyBorder="1" applyAlignment="1" applyProtection="1">
      <alignment horizontal="center"/>
    </xf>
    <xf numFmtId="0" fontId="9" fillId="0" borderId="46" xfId="0" applyFont="1" applyFill="1" applyBorder="1" applyAlignment="1" applyProtection="1">
      <alignment horizontal="right"/>
    </xf>
    <xf numFmtId="165" fontId="9" fillId="0" borderId="24" xfId="0" applyNumberFormat="1" applyFont="1" applyFill="1" applyBorder="1" applyAlignment="1" applyProtection="1">
      <alignment horizontal="right" vertical="center"/>
    </xf>
    <xf numFmtId="8" fontId="9" fillId="0" borderId="22" xfId="0" applyNumberFormat="1" applyFont="1" applyFill="1" applyBorder="1" applyAlignment="1" applyProtection="1">
      <alignment horizontal="right" vertical="center"/>
    </xf>
    <xf numFmtId="7" fontId="9" fillId="0" borderId="12" xfId="0" applyNumberFormat="1" applyFont="1" applyFill="1" applyBorder="1" applyAlignment="1" applyProtection="1">
      <alignment horizontal="center" vertical="center"/>
    </xf>
    <xf numFmtId="7" fontId="9" fillId="0" borderId="0" xfId="0" applyNumberFormat="1" applyFont="1" applyFill="1" applyBorder="1" applyAlignment="1" applyProtection="1">
      <alignment horizontal="center" vertical="center"/>
    </xf>
    <xf numFmtId="7" fontId="9" fillId="0" borderId="13" xfId="0" applyNumberFormat="1" applyFont="1" applyFill="1" applyBorder="1" applyAlignment="1" applyProtection="1">
      <alignment horizontal="center" vertical="center"/>
    </xf>
    <xf numFmtId="7" fontId="2" fillId="0" borderId="18" xfId="0" applyNumberFormat="1" applyFont="1" applyFill="1" applyBorder="1" applyProtection="1"/>
    <xf numFmtId="7" fontId="2" fillId="0" borderId="23" xfId="0" applyNumberFormat="1" applyFont="1" applyFill="1" applyBorder="1" applyProtection="1"/>
    <xf numFmtId="166" fontId="9" fillId="0" borderId="11" xfId="0" applyNumberFormat="1" applyFont="1" applyFill="1" applyBorder="1" applyAlignment="1" applyProtection="1">
      <alignment horizontal="right" vertical="center"/>
    </xf>
    <xf numFmtId="5" fontId="2" fillId="0" borderId="0" xfId="0" applyNumberFormat="1" applyFont="1" applyBorder="1" applyProtection="1"/>
    <xf numFmtId="5" fontId="2" fillId="0" borderId="1" xfId="0" applyNumberFormat="1" applyFont="1" applyBorder="1" applyProtection="1"/>
    <xf numFmtId="0" fontId="9" fillId="0" borderId="3" xfId="0" applyFont="1" applyBorder="1" applyAlignment="1" applyProtection="1">
      <alignment horizontal="center"/>
    </xf>
    <xf numFmtId="167" fontId="9" fillId="0" borderId="40" xfId="0" applyNumberFormat="1" applyFont="1" applyBorder="1" applyAlignment="1" applyProtection="1">
      <alignment horizontal="right" vertical="center"/>
    </xf>
    <xf numFmtId="8" fontId="3" fillId="0" borderId="9" xfId="0" applyNumberFormat="1" applyFont="1" applyFill="1" applyBorder="1" applyProtection="1"/>
    <xf numFmtId="8" fontId="8" fillId="0" borderId="20" xfId="0" applyNumberFormat="1" applyFont="1" applyFill="1" applyBorder="1" applyAlignment="1" applyProtection="1">
      <alignment horizontal="right" vertical="center"/>
    </xf>
    <xf numFmtId="8" fontId="8" fillId="0" borderId="17" xfId="0" applyNumberFormat="1" applyFont="1" applyFill="1" applyBorder="1" applyAlignment="1" applyProtection="1">
      <alignment horizontal="right" vertical="center"/>
    </xf>
    <xf numFmtId="8" fontId="8" fillId="0" borderId="30" xfId="0" applyNumberFormat="1" applyFont="1" applyFill="1" applyBorder="1" applyAlignment="1" applyProtection="1">
      <alignment horizontal="right" vertical="center"/>
    </xf>
    <xf numFmtId="8" fontId="8" fillId="0" borderId="47" xfId="0" applyNumberFormat="1" applyFont="1" applyFill="1" applyBorder="1" applyAlignment="1" applyProtection="1">
      <alignment horizontal="right" vertical="center"/>
    </xf>
    <xf numFmtId="8" fontId="8" fillId="0" borderId="21" xfId="0" applyNumberFormat="1" applyFont="1" applyFill="1" applyBorder="1" applyAlignment="1" applyProtection="1">
      <alignment horizontal="right" vertical="center"/>
    </xf>
    <xf numFmtId="8" fontId="8" fillId="0" borderId="14" xfId="0" applyNumberFormat="1" applyFont="1" applyFill="1" applyBorder="1" applyAlignment="1" applyProtection="1">
      <alignment horizontal="right" vertical="center"/>
    </xf>
    <xf numFmtId="8" fontId="8" fillId="0" borderId="10" xfId="0" applyNumberFormat="1" applyFont="1" applyFill="1" applyBorder="1" applyAlignment="1" applyProtection="1">
      <alignment horizontal="right" vertical="center"/>
    </xf>
    <xf numFmtId="166" fontId="8" fillId="0" borderId="26" xfId="0" applyNumberFormat="1" applyFont="1" applyFill="1" applyBorder="1" applyAlignment="1" applyProtection="1">
      <alignment horizontal="right" vertical="center"/>
    </xf>
    <xf numFmtId="6" fontId="8" fillId="0" borderId="21" xfId="0" applyNumberFormat="1" applyFont="1" applyBorder="1" applyAlignment="1" applyProtection="1">
      <alignment horizontal="right" vertical="center"/>
    </xf>
    <xf numFmtId="165" fontId="8" fillId="0" borderId="20" xfId="0" applyNumberFormat="1" applyFont="1" applyBorder="1" applyAlignment="1" applyProtection="1">
      <alignment horizontal="right" vertical="center"/>
    </xf>
    <xf numFmtId="8" fontId="8" fillId="0" borderId="20" xfId="0" applyNumberFormat="1" applyFont="1" applyBorder="1" applyAlignment="1" applyProtection="1">
      <alignment horizontal="right" vertical="center"/>
    </xf>
    <xf numFmtId="8" fontId="8" fillId="0" borderId="30" xfId="0" applyNumberFormat="1" applyFont="1" applyBorder="1" applyAlignment="1" applyProtection="1">
      <alignment horizontal="right" vertical="center"/>
    </xf>
    <xf numFmtId="4" fontId="8" fillId="0" borderId="16" xfId="1" applyNumberFormat="1" applyFont="1" applyBorder="1" applyAlignment="1" applyProtection="1">
      <alignment horizontal="right" vertical="center"/>
    </xf>
    <xf numFmtId="4" fontId="8" fillId="0" borderId="17" xfId="1" applyNumberFormat="1" applyFont="1" applyBorder="1" applyAlignment="1" applyProtection="1">
      <alignment horizontal="right" vertical="center"/>
    </xf>
    <xf numFmtId="8" fontId="8" fillId="0" borderId="16" xfId="0" applyNumberFormat="1" applyFont="1" applyBorder="1" applyAlignment="1" applyProtection="1">
      <alignment horizontal="right" vertical="center"/>
    </xf>
    <xf numFmtId="8" fontId="8" fillId="0" borderId="17" xfId="0" applyNumberFormat="1" applyFont="1" applyBorder="1" applyAlignment="1" applyProtection="1">
      <alignment horizontal="right" vertical="center"/>
    </xf>
    <xf numFmtId="166" fontId="8" fillId="0" borderId="8" xfId="0" applyNumberFormat="1" applyFont="1" applyBorder="1" applyAlignment="1" applyProtection="1">
      <alignment horizontal="right" vertical="center"/>
    </xf>
    <xf numFmtId="166" fontId="8" fillId="0" borderId="17" xfId="0" applyNumberFormat="1" applyFont="1" applyBorder="1" applyAlignment="1" applyProtection="1">
      <alignment horizontal="right" vertical="center"/>
    </xf>
    <xf numFmtId="8" fontId="8" fillId="0" borderId="8" xfId="0" applyNumberFormat="1" applyFont="1" applyBorder="1" applyAlignment="1" applyProtection="1">
      <alignment horizontal="right" vertical="center"/>
    </xf>
    <xf numFmtId="8" fontId="8" fillId="0" borderId="14" xfId="0" applyNumberFormat="1" applyFont="1" applyBorder="1" applyAlignment="1" applyProtection="1">
      <alignment horizontal="right" vertical="center"/>
    </xf>
    <xf numFmtId="8" fontId="8" fillId="0" borderId="9" xfId="0" applyNumberFormat="1" applyFont="1" applyBorder="1" applyAlignment="1" applyProtection="1">
      <alignment horizontal="right" vertical="center"/>
    </xf>
    <xf numFmtId="8" fontId="8" fillId="0" borderId="14" xfId="0" applyNumberFormat="1" applyFont="1" applyBorder="1" applyProtection="1"/>
    <xf numFmtId="0" fontId="6" fillId="0" borderId="0" xfId="0" applyFont="1" applyAlignment="1" applyProtection="1">
      <alignment horizontal="center"/>
    </xf>
    <xf numFmtId="166" fontId="9" fillId="0" borderId="0" xfId="0" applyNumberFormat="1" applyFont="1" applyFill="1" applyAlignment="1" applyProtection="1"/>
    <xf numFmtId="0" fontId="7" fillId="0" borderId="0" xfId="0" applyFont="1" applyFill="1" applyAlignment="1" applyProtection="1">
      <alignment horizontal="center"/>
    </xf>
    <xf numFmtId="8" fontId="6" fillId="0" borderId="0" xfId="0" applyNumberFormat="1" applyFont="1" applyFill="1" applyAlignment="1" applyProtection="1">
      <alignment horizontal="left"/>
    </xf>
    <xf numFmtId="8" fontId="7" fillId="0" borderId="0" xfId="0" applyNumberFormat="1" applyFont="1" applyFill="1" applyAlignment="1" applyProtection="1">
      <alignment horizontal="center"/>
    </xf>
    <xf numFmtId="0" fontId="6" fillId="0" borderId="4" xfId="0" applyFont="1" applyFill="1" applyBorder="1" applyProtection="1"/>
    <xf numFmtId="166" fontId="7" fillId="0" borderId="0" xfId="0" applyNumberFormat="1" applyFont="1" applyFill="1" applyProtection="1"/>
    <xf numFmtId="4" fontId="6" fillId="0" borderId="0" xfId="1" applyNumberFormat="1" applyFont="1" applyProtection="1"/>
    <xf numFmtId="4" fontId="9" fillId="0" borderId="0" xfId="1" applyNumberFormat="1" applyFont="1" applyProtection="1"/>
    <xf numFmtId="2" fontId="9" fillId="0" borderId="0" xfId="0" applyNumberFormat="1" applyFont="1" applyProtection="1"/>
    <xf numFmtId="4" fontId="9" fillId="0" borderId="0" xfId="0" applyNumberFormat="1" applyFont="1" applyProtection="1"/>
    <xf numFmtId="44" fontId="2" fillId="0" borderId="0" xfId="1" applyFont="1" applyProtection="1"/>
    <xf numFmtId="8" fontId="6" fillId="0" borderId="0" xfId="0" applyNumberFormat="1" applyFont="1" applyFill="1" applyAlignment="1" applyProtection="1">
      <alignment horizontal="center"/>
    </xf>
    <xf numFmtId="166" fontId="7" fillId="0" borderId="0" xfId="0" applyNumberFormat="1" applyFont="1" applyFill="1" applyAlignment="1" applyProtection="1">
      <alignment vertical="top"/>
    </xf>
    <xf numFmtId="4" fontId="6" fillId="0" borderId="0" xfId="1" applyNumberFormat="1" applyFont="1" applyFill="1" applyAlignment="1" applyProtection="1"/>
    <xf numFmtId="0" fontId="6" fillId="0" borderId="0" xfId="0" applyFont="1" applyFill="1" applyAlignment="1" applyProtection="1"/>
    <xf numFmtId="166" fontId="6" fillId="0" borderId="0" xfId="0" applyNumberFormat="1" applyFont="1" applyProtection="1"/>
    <xf numFmtId="44" fontId="6" fillId="0" borderId="0" xfId="1" applyFont="1" applyProtection="1"/>
    <xf numFmtId="8" fontId="6" fillId="0" borderId="0" xfId="0" applyNumberFormat="1" applyFont="1" applyProtection="1"/>
    <xf numFmtId="8" fontId="13" fillId="0" borderId="0" xfId="0" applyNumberFormat="1" applyFont="1" applyAlignment="1">
      <alignment horizontal="left"/>
    </xf>
    <xf numFmtId="8" fontId="13" fillId="3" borderId="0" xfId="0" applyNumberFormat="1" applyFont="1" applyFill="1" applyAlignment="1">
      <alignment horizontal="left"/>
    </xf>
    <xf numFmtId="169" fontId="13" fillId="0" borderId="0" xfId="0" applyNumberFormat="1" applyFont="1" applyAlignment="1">
      <alignment horizontal="left"/>
    </xf>
    <xf numFmtId="166" fontId="9" fillId="0" borderId="1" xfId="0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Protection="1"/>
    <xf numFmtId="7" fontId="2" fillId="0" borderId="13" xfId="0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Protection="1"/>
    <xf numFmtId="7" fontId="2" fillId="2" borderId="0" xfId="0" applyNumberFormat="1" applyFont="1" applyFill="1" applyBorder="1" applyAlignment="1" applyProtection="1">
      <alignment horizontal="right" vertical="center"/>
    </xf>
    <xf numFmtId="5" fontId="9" fillId="0" borderId="0" xfId="0" applyNumberFormat="1" applyFont="1" applyFill="1" applyBorder="1" applyProtection="1"/>
    <xf numFmtId="37" fontId="9" fillId="0" borderId="3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165" fontId="9" fillId="0" borderId="23" xfId="0" applyNumberFormat="1" applyFont="1" applyFill="1" applyBorder="1" applyAlignment="1" applyProtection="1">
      <alignment horizontal="right" vertical="center"/>
    </xf>
    <xf numFmtId="5" fontId="2" fillId="0" borderId="0" xfId="0" applyNumberFormat="1" applyFont="1" applyFill="1" applyBorder="1" applyProtection="1"/>
    <xf numFmtId="7" fontId="9" fillId="4" borderId="13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Protection="1"/>
    <xf numFmtId="7" fontId="9" fillId="0" borderId="0" xfId="0" applyNumberFormat="1" applyFont="1" applyAlignment="1">
      <alignment horizontal="right" vertical="center"/>
    </xf>
    <xf numFmtId="7" fontId="9" fillId="0" borderId="18" xfId="0" applyNumberFormat="1" applyFont="1" applyBorder="1" applyAlignment="1">
      <alignment horizontal="right" vertical="center"/>
    </xf>
    <xf numFmtId="7" fontId="9" fillId="0" borderId="13" xfId="0" applyNumberFormat="1" applyFont="1" applyBorder="1" applyAlignment="1">
      <alignment horizontal="right" vertical="center"/>
    </xf>
    <xf numFmtId="7" fontId="9" fillId="0" borderId="1" xfId="0" applyNumberFormat="1" applyFont="1" applyBorder="1" applyAlignment="1">
      <alignment horizontal="right" vertical="center"/>
    </xf>
    <xf numFmtId="7" fontId="9" fillId="0" borderId="12" xfId="0" applyNumberFormat="1" applyFont="1" applyBorder="1" applyAlignment="1">
      <alignment horizontal="right" vertical="center"/>
    </xf>
    <xf numFmtId="166" fontId="9" fillId="5" borderId="0" xfId="0" applyNumberFormat="1" applyFont="1" applyFill="1" applyAlignment="1">
      <alignment horizontal="right" vertical="center"/>
    </xf>
    <xf numFmtId="166" fontId="9" fillId="0" borderId="13" xfId="0" applyNumberFormat="1" applyFont="1" applyBorder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6" fontId="9" fillId="0" borderId="12" xfId="0" applyNumberFormat="1" applyFont="1" applyBorder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0" fontId="9" fillId="3" borderId="0" xfId="0" applyFont="1" applyFill="1"/>
    <xf numFmtId="166" fontId="9" fillId="0" borderId="0" xfId="1" applyNumberFormat="1" applyFont="1" applyFill="1" applyBorder="1" applyAlignment="1" applyProtection="1">
      <alignment horizontal="right" vertical="center"/>
    </xf>
    <xf numFmtId="2" fontId="9" fillId="0" borderId="0" xfId="1" applyNumberFormat="1" applyFont="1" applyProtection="1"/>
    <xf numFmtId="44" fontId="2" fillId="0" borderId="30" xfId="1" applyFont="1" applyFill="1" applyBorder="1" applyProtection="1"/>
    <xf numFmtId="0" fontId="9" fillId="4" borderId="0" xfId="0" applyFont="1" applyFill="1"/>
    <xf numFmtId="7" fontId="2" fillId="4" borderId="23" xfId="0" applyNumberFormat="1" applyFont="1" applyFill="1" applyBorder="1" applyProtection="1"/>
    <xf numFmtId="7" fontId="9" fillId="4" borderId="0" xfId="0" applyNumberFormat="1" applyFont="1" applyFill="1" applyBorder="1" applyAlignment="1" applyProtection="1">
      <alignment horizontal="right" vertical="center"/>
    </xf>
    <xf numFmtId="0" fontId="9" fillId="6" borderId="0" xfId="0" applyFont="1" applyFill="1"/>
    <xf numFmtId="166" fontId="8" fillId="6" borderId="15" xfId="0" applyNumberFormat="1" applyFont="1" applyFill="1" applyBorder="1" applyAlignment="1" applyProtection="1">
      <alignment horizontal="right" vertical="center"/>
    </xf>
    <xf numFmtId="0" fontId="9" fillId="6" borderId="0" xfId="0" applyFont="1" applyFill="1" applyProtection="1"/>
    <xf numFmtId="166" fontId="9" fillId="0" borderId="24" xfId="0" applyNumberFormat="1" applyFont="1" applyBorder="1" applyAlignment="1" applyProtection="1">
      <alignment horizontal="right" vertical="center"/>
    </xf>
    <xf numFmtId="166" fontId="9" fillId="0" borderId="7" xfId="0" applyNumberFormat="1" applyFont="1" applyBorder="1" applyAlignment="1" applyProtection="1">
      <alignment horizontal="right" vertical="center"/>
    </xf>
    <xf numFmtId="166" fontId="9" fillId="0" borderId="5" xfId="0" applyNumberFormat="1" applyFont="1" applyBorder="1" applyAlignment="1" applyProtection="1">
      <alignment horizontal="right" vertical="center"/>
    </xf>
    <xf numFmtId="166" fontId="9" fillId="0" borderId="2" xfId="0" applyNumberFormat="1" applyFont="1" applyBorder="1" applyAlignment="1" applyProtection="1">
      <alignment horizontal="right" vertical="center"/>
    </xf>
    <xf numFmtId="166" fontId="9" fillId="0" borderId="2" xfId="0" applyNumberFormat="1" applyFont="1" applyFill="1" applyBorder="1" applyAlignment="1" applyProtection="1">
      <alignment horizontal="right" vertical="center"/>
    </xf>
    <xf numFmtId="8" fontId="9" fillId="0" borderId="13" xfId="0" applyNumberFormat="1" applyFont="1" applyFill="1" applyBorder="1" applyAlignment="1" applyProtection="1">
      <alignment horizontal="right" vertical="center"/>
    </xf>
    <xf numFmtId="8" fontId="9" fillId="0" borderId="12" xfId="0" applyNumberFormat="1" applyFont="1" applyFill="1" applyBorder="1" applyAlignment="1" applyProtection="1">
      <alignment horizontal="right" vertical="center"/>
    </xf>
    <xf numFmtId="166" fontId="9" fillId="0" borderId="25" xfId="0" applyNumberFormat="1" applyFont="1" applyBorder="1" applyAlignment="1" applyProtection="1">
      <alignment horizontal="right" vertical="center"/>
    </xf>
    <xf numFmtId="166" fontId="9" fillId="0" borderId="28" xfId="0" applyNumberFormat="1" applyFont="1" applyBorder="1" applyAlignment="1" applyProtection="1">
      <alignment horizontal="right" vertical="center"/>
    </xf>
    <xf numFmtId="166" fontId="9" fillId="0" borderId="25" xfId="0" applyNumberFormat="1" applyFont="1" applyFill="1" applyBorder="1" applyAlignment="1" applyProtection="1">
      <alignment horizontal="right" vertical="center"/>
    </xf>
    <xf numFmtId="166" fontId="9" fillId="0" borderId="28" xfId="0" applyNumberFormat="1" applyFont="1" applyFill="1" applyBorder="1" applyAlignment="1" applyProtection="1">
      <alignment horizontal="right" vertical="center"/>
    </xf>
    <xf numFmtId="166" fontId="3" fillId="0" borderId="49" xfId="0" applyNumberFormat="1" applyFont="1" applyFill="1" applyBorder="1" applyAlignment="1" applyProtection="1"/>
    <xf numFmtId="166" fontId="9" fillId="0" borderId="50" xfId="0" applyNumberFormat="1" applyFont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center"/>
    </xf>
    <xf numFmtId="166" fontId="3" fillId="0" borderId="21" xfId="0" applyNumberFormat="1" applyFont="1" applyFill="1" applyBorder="1" applyAlignment="1" applyProtection="1"/>
    <xf numFmtId="8" fontId="8" fillId="0" borderId="26" xfId="0" applyNumberFormat="1" applyFont="1" applyBorder="1" applyAlignment="1">
      <alignment horizontal="right" vertical="center"/>
    </xf>
    <xf numFmtId="8" fontId="8" fillId="0" borderId="21" xfId="0" applyNumberFormat="1" applyFont="1" applyBorder="1" applyAlignment="1">
      <alignment horizontal="right" vertical="center"/>
    </xf>
    <xf numFmtId="8" fontId="8" fillId="0" borderId="14" xfId="0" applyNumberFormat="1" applyFont="1" applyBorder="1" applyAlignment="1">
      <alignment horizontal="right" vertical="center"/>
    </xf>
    <xf numFmtId="0" fontId="9" fillId="7" borderId="0" xfId="0" applyFont="1" applyFill="1" applyProtection="1"/>
    <xf numFmtId="8" fontId="2" fillId="7" borderId="28" xfId="0" applyNumberFormat="1" applyFont="1" applyFill="1" applyBorder="1" applyAlignment="1">
      <alignment horizontal="right" vertical="center"/>
    </xf>
    <xf numFmtId="8" fontId="9" fillId="7" borderId="25" xfId="0" applyNumberFormat="1" applyFont="1" applyFill="1" applyBorder="1" applyAlignment="1">
      <alignment horizontal="right" vertical="center"/>
    </xf>
    <xf numFmtId="40" fontId="13" fillId="0" borderId="0" xfId="0" applyNumberFormat="1" applyFont="1" applyAlignment="1">
      <alignment horizontal="left"/>
    </xf>
    <xf numFmtId="8" fontId="13" fillId="0" borderId="0" xfId="0" applyNumberFormat="1" applyFont="1" applyAlignment="1">
      <alignment horizontal="left" vertical="center"/>
    </xf>
    <xf numFmtId="8" fontId="6" fillId="0" borderId="0" xfId="0" applyNumberFormat="1" applyFont="1" applyFill="1" applyAlignment="1" applyProtection="1">
      <alignment vertical="top"/>
    </xf>
    <xf numFmtId="166" fontId="6" fillId="0" borderId="0" xfId="0" applyNumberFormat="1" applyFont="1" applyFill="1" applyAlignment="1" applyProtection="1">
      <alignment vertical="top"/>
    </xf>
    <xf numFmtId="8" fontId="8" fillId="0" borderId="49" xfId="0" applyNumberFormat="1" applyFont="1" applyBorder="1" applyAlignment="1" applyProtection="1">
      <alignment horizontal="right" vertical="center"/>
    </xf>
    <xf numFmtId="8" fontId="8" fillId="0" borderId="21" xfId="0" applyNumberFormat="1" applyFont="1" applyBorder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left" vertical="top" wrapText="1"/>
    </xf>
    <xf numFmtId="168" fontId="9" fillId="0" borderId="27" xfId="0" applyNumberFormat="1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166" fontId="9" fillId="0" borderId="5" xfId="0" applyNumberFormat="1" applyFont="1" applyFill="1" applyBorder="1" applyAlignment="1" applyProtection="1">
      <alignment horizontal="center" vertical="center" wrapText="1"/>
    </xf>
    <xf numFmtId="166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35" xfId="0" applyNumberFormat="1" applyFont="1" applyBorder="1" applyAlignment="1" applyProtection="1">
      <alignment horizontal="center" vertical="center" wrapText="1"/>
    </xf>
    <xf numFmtId="49" fontId="9" fillId="0" borderId="36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5" fontId="11" fillId="0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8" fontId="8" fillId="0" borderId="5" xfId="0" applyNumberFormat="1" applyFont="1" applyFill="1" applyBorder="1" applyAlignment="1" applyProtection="1">
      <alignment horizontal="center" vertical="center" wrapText="1"/>
    </xf>
    <xf numFmtId="8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8" fontId="1" fillId="0" borderId="33" xfId="0" applyNumberFormat="1" applyFont="1" applyFill="1" applyBorder="1" applyAlignment="1" applyProtection="1">
      <alignment horizontal="center" vertical="center"/>
    </xf>
    <xf numFmtId="168" fontId="1" fillId="0" borderId="10" xfId="0" applyNumberFormat="1" applyFont="1" applyFill="1" applyBorder="1" applyAlignment="1" applyProtection="1">
      <alignment horizontal="center" vertical="center"/>
    </xf>
    <xf numFmtId="168" fontId="1" fillId="0" borderId="33" xfId="1" applyNumberFormat="1" applyFont="1" applyFill="1" applyBorder="1" applyAlignment="1" applyProtection="1">
      <alignment horizontal="center" vertical="center"/>
    </xf>
    <xf numFmtId="168" fontId="1" fillId="0" borderId="10" xfId="1" applyNumberFormat="1" applyFont="1" applyFill="1" applyBorder="1" applyAlignment="1" applyProtection="1">
      <alignment horizontal="center" vertical="center"/>
    </xf>
    <xf numFmtId="168" fontId="1" fillId="0" borderId="34" xfId="0" applyNumberFormat="1" applyFont="1" applyFill="1" applyBorder="1" applyAlignment="1" applyProtection="1">
      <alignment horizontal="center" vertical="center"/>
    </xf>
    <xf numFmtId="168" fontId="9" fillId="0" borderId="32" xfId="0" applyNumberFormat="1" applyFont="1" applyFill="1" applyBorder="1" applyAlignment="1" applyProtection="1">
      <alignment horizontal="center" vertical="center" wrapText="1"/>
    </xf>
    <xf numFmtId="166" fontId="8" fillId="0" borderId="15" xfId="0" applyNumberFormat="1" applyFont="1" applyFill="1" applyBorder="1" applyAlignment="1" applyProtection="1">
      <alignment horizontal="center" vertical="center" wrapText="1"/>
    </xf>
    <xf numFmtId="166" fontId="8" fillId="0" borderId="1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</xf>
    <xf numFmtId="0" fontId="9" fillId="0" borderId="4" xfId="0" applyFont="1" applyFill="1" applyBorder="1" applyAlignment="1" applyProtection="1">
      <alignment horizontal="center" vertical="center" wrapText="1"/>
    </xf>
    <xf numFmtId="168" fontId="9" fillId="0" borderId="35" xfId="1" applyNumberFormat="1" applyFont="1" applyFill="1" applyBorder="1" applyAlignment="1" applyProtection="1">
      <alignment horizontal="center" vertical="center" wrapText="1"/>
    </xf>
    <xf numFmtId="168" fontId="9" fillId="0" borderId="36" xfId="1" applyNumberFormat="1" applyFont="1" applyFill="1" applyBorder="1" applyAlignment="1" applyProtection="1">
      <alignment horizontal="center" vertical="center" wrapText="1"/>
    </xf>
    <xf numFmtId="168" fontId="9" fillId="0" borderId="29" xfId="0" applyNumberFormat="1" applyFont="1" applyFill="1" applyBorder="1" applyAlignment="1" applyProtection="1">
      <alignment horizontal="center" vertical="center" wrapText="1"/>
    </xf>
    <xf numFmtId="168" fontId="9" fillId="0" borderId="37" xfId="0" applyNumberFormat="1" applyFont="1" applyFill="1" applyBorder="1" applyAlignment="1" applyProtection="1">
      <alignment horizontal="center" vertical="center" wrapText="1"/>
    </xf>
    <xf numFmtId="166" fontId="9" fillId="0" borderId="23" xfId="0" applyNumberFormat="1" applyFont="1" applyFill="1" applyBorder="1" applyAlignment="1" applyProtection="1">
      <alignment horizontal="center" vertical="center" wrapText="1"/>
    </xf>
    <xf numFmtId="166" fontId="9" fillId="0" borderId="24" xfId="0" applyNumberFormat="1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8" fontId="9" fillId="0" borderId="51" xfId="0" applyNumberFormat="1" applyFont="1" applyFill="1" applyBorder="1" applyAlignment="1" applyProtection="1">
      <alignment horizontal="center" vertical="center" wrapText="1"/>
    </xf>
    <xf numFmtId="8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workbookViewId="0">
      <selection activeCell="B12" sqref="B12"/>
    </sheetView>
  </sheetViews>
  <sheetFormatPr defaultRowHeight="15"/>
  <cols>
    <col min="1" max="1" width="63.7109375" customWidth="1"/>
    <col min="2" max="2" width="15.42578125" style="6" customWidth="1"/>
  </cols>
  <sheetData>
    <row r="1" spans="1:25">
      <c r="A1" s="2" t="s">
        <v>135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4" t="s">
        <v>119</v>
      </c>
      <c r="B2" s="7">
        <v>48447772</v>
      </c>
      <c r="C2" t="s">
        <v>125</v>
      </c>
      <c r="F2" s="3"/>
      <c r="J2" s="1"/>
      <c r="K2" s="1"/>
      <c r="L2" s="1"/>
      <c r="M2" s="1"/>
      <c r="N2" s="1"/>
      <c r="O2" s="1"/>
      <c r="P2" s="1"/>
      <c r="Q2" s="1"/>
    </row>
    <row r="3" spans="1:25">
      <c r="A3" s="4" t="s">
        <v>109</v>
      </c>
      <c r="B3" s="8">
        <v>100</v>
      </c>
    </row>
    <row r="4" spans="1:25">
      <c r="A4" s="4" t="s">
        <v>118</v>
      </c>
      <c r="B4" s="186">
        <v>76.099999999999994</v>
      </c>
    </row>
    <row r="5" spans="1:25">
      <c r="A5" s="4" t="s">
        <v>105</v>
      </c>
      <c r="B5" s="184">
        <f>B2*B4/100</f>
        <v>36868754.491999999</v>
      </c>
    </row>
    <row r="6" spans="1:25">
      <c r="A6" s="4" t="s">
        <v>106</v>
      </c>
      <c r="B6" s="184">
        <f>ROUND(B5,-2)</f>
        <v>36868800</v>
      </c>
    </row>
    <row r="7" spans="1:25">
      <c r="A7" s="4" t="s">
        <v>136</v>
      </c>
      <c r="B7" s="185">
        <f>23000000*B4/100</f>
        <v>17502999.999999996</v>
      </c>
    </row>
    <row r="8" spans="1:25">
      <c r="A8" s="4"/>
      <c r="B8" s="7"/>
    </row>
    <row r="9" spans="1:25">
      <c r="A9" s="4" t="s">
        <v>110</v>
      </c>
      <c r="B9" s="242">
        <v>100</v>
      </c>
    </row>
    <row r="10" spans="1:25">
      <c r="A10" s="4" t="s">
        <v>107</v>
      </c>
      <c r="B10" s="243">
        <v>47341695</v>
      </c>
      <c r="C10" s="4" t="s">
        <v>153</v>
      </c>
    </row>
    <row r="11" spans="1:25">
      <c r="A11" s="4" t="s">
        <v>108</v>
      </c>
      <c r="B11" s="184">
        <f>B10*0.761</f>
        <v>36027029.895000003</v>
      </c>
    </row>
    <row r="12" spans="1:25">
      <c r="A12" s="4" t="s">
        <v>154</v>
      </c>
      <c r="B12" s="184">
        <f>23000000*76.1/100</f>
        <v>17502999.999999996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11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2" sqref="D2:J2"/>
    </sheetView>
  </sheetViews>
  <sheetFormatPr defaultColWidth="9.140625" defaultRowHeight="15"/>
  <cols>
    <col min="1" max="1" width="16.85546875" style="31" customWidth="1"/>
    <col min="2" max="2" width="4.85546875" style="165" bestFit="1" customWidth="1"/>
    <col min="3" max="3" width="12.85546875" style="165" customWidth="1"/>
    <col min="4" max="4" width="12.85546875" style="234" customWidth="1"/>
    <col min="5" max="5" width="14.140625" style="166" bestFit="1" customWidth="1"/>
    <col min="6" max="6" width="16.28515625" style="167" bestFit="1" customWidth="1"/>
    <col min="7" max="7" width="16" style="167" bestFit="1" customWidth="1"/>
    <col min="8" max="8" width="14.85546875" style="19" bestFit="1" customWidth="1"/>
    <col min="9" max="9" width="14.5703125" style="19" customWidth="1"/>
    <col min="10" max="10" width="14.5703125" style="19" bestFit="1" customWidth="1"/>
    <col min="11" max="11" width="15.5703125" style="177" bestFit="1" customWidth="1"/>
    <col min="12" max="12" width="18.140625" style="169" bestFit="1" customWidth="1"/>
    <col min="13" max="13" width="14.85546875" style="19" bestFit="1" customWidth="1"/>
    <col min="14" max="14" width="16" style="19" bestFit="1" customWidth="1"/>
    <col min="15" max="15" width="16" style="19" customWidth="1"/>
    <col min="16" max="16" width="12.85546875" style="114" customWidth="1"/>
    <col min="17" max="17" width="12.85546875" style="170" customWidth="1"/>
    <col min="18" max="21" width="12.85546875" style="31" customWidth="1"/>
    <col min="22" max="22" width="12.85546875" style="171" customWidth="1"/>
    <col min="23" max="23" width="16.140625" style="31" customWidth="1"/>
    <col min="24" max="24" width="13.42578125" style="31" bestFit="1" customWidth="1"/>
    <col min="25" max="25" width="12.85546875" style="31" customWidth="1"/>
    <col min="26" max="26" width="16.42578125" style="31" bestFit="1" customWidth="1"/>
    <col min="27" max="27" width="16.28515625" style="31" customWidth="1"/>
    <col min="28" max="28" width="16.7109375" style="31" bestFit="1" customWidth="1"/>
    <col min="29" max="30" width="12" style="172" bestFit="1" customWidth="1"/>
    <col min="31" max="31" width="13.140625" style="31" bestFit="1" customWidth="1"/>
    <col min="32" max="32" width="13.5703125" style="31" bestFit="1" customWidth="1"/>
    <col min="33" max="34" width="14" style="31" bestFit="1" customWidth="1"/>
    <col min="35" max="35" width="13.5703125" style="31" bestFit="1" customWidth="1"/>
    <col min="36" max="36" width="13.140625" style="31" bestFit="1" customWidth="1"/>
    <col min="37" max="38" width="12.7109375" style="181" bestFit="1" customWidth="1"/>
    <col min="39" max="40" width="14" style="31" bestFit="1" customWidth="1"/>
    <col min="41" max="41" width="13.5703125" style="31" bestFit="1" customWidth="1"/>
    <col min="42" max="42" width="13.140625" style="31" bestFit="1" customWidth="1"/>
    <col min="43" max="43" width="13.5703125" style="31" bestFit="1" customWidth="1"/>
    <col min="44" max="44" width="14" style="31" bestFit="1" customWidth="1"/>
    <col min="45" max="46" width="13.140625" style="181" bestFit="1" customWidth="1"/>
    <col min="47" max="48" width="12.7109375" style="182" bestFit="1" customWidth="1"/>
    <col min="49" max="49" width="10.5703125" style="31" bestFit="1" customWidth="1"/>
    <col min="50" max="50" width="10.42578125" style="31" bestFit="1" customWidth="1"/>
    <col min="51" max="51" width="11.42578125" style="31" bestFit="1" customWidth="1"/>
    <col min="52" max="52" width="10.42578125" style="26" bestFit="1" customWidth="1"/>
    <col min="53" max="53" width="12.7109375" style="29" customWidth="1"/>
    <col min="54" max="54" width="74.42578125" style="30" bestFit="1" customWidth="1"/>
    <col min="55" max="16384" width="9.140625" style="31"/>
  </cols>
  <sheetData>
    <row r="1" spans="1:59">
      <c r="A1" s="286" t="s">
        <v>123</v>
      </c>
      <c r="B1" s="286"/>
      <c r="C1" s="286"/>
      <c r="D1" s="286"/>
      <c r="E1" s="17" t="s">
        <v>117</v>
      </c>
      <c r="F1" s="18">
        <v>44194</v>
      </c>
      <c r="G1" s="18"/>
      <c r="K1" s="20"/>
      <c r="L1" s="20"/>
      <c r="M1" s="20"/>
      <c r="N1" s="20"/>
      <c r="O1" s="20"/>
      <c r="P1" s="20"/>
      <c r="Q1" s="21"/>
      <c r="R1" s="22"/>
      <c r="S1" s="22"/>
      <c r="T1" s="22"/>
      <c r="U1" s="22"/>
      <c r="V1" s="23"/>
      <c r="W1" s="22"/>
      <c r="X1" s="22"/>
      <c r="Y1" s="22"/>
      <c r="Z1" s="300" t="s">
        <v>156</v>
      </c>
      <c r="AA1" s="300" t="s">
        <v>157</v>
      </c>
      <c r="AB1" s="300" t="s">
        <v>158</v>
      </c>
      <c r="AC1" s="24"/>
      <c r="AD1" s="25"/>
      <c r="AE1" s="26"/>
      <c r="AF1" s="26"/>
      <c r="AG1" s="26"/>
      <c r="AH1" s="26"/>
      <c r="AI1" s="30"/>
      <c r="AJ1" s="30"/>
      <c r="AK1" s="191"/>
      <c r="AL1" s="191"/>
      <c r="AM1" s="30"/>
      <c r="AN1" s="26"/>
      <c r="AO1" s="26"/>
      <c r="AP1" s="26"/>
      <c r="AQ1" s="26"/>
      <c r="AR1" s="26"/>
      <c r="AS1" s="27"/>
      <c r="AT1" s="27"/>
      <c r="AU1" s="28"/>
      <c r="AV1" s="28"/>
      <c r="AW1" s="26"/>
      <c r="AX1" s="26"/>
      <c r="AY1" s="26"/>
    </row>
    <row r="2" spans="1:59" s="34" customFormat="1" ht="27" customHeight="1">
      <c r="A2" s="261" t="s">
        <v>0</v>
      </c>
      <c r="B2" s="263" t="s">
        <v>1</v>
      </c>
      <c r="C2" s="298" t="s">
        <v>124</v>
      </c>
      <c r="D2" s="250" t="s">
        <v>114</v>
      </c>
      <c r="E2" s="250"/>
      <c r="F2" s="250"/>
      <c r="G2" s="250"/>
      <c r="H2" s="250"/>
      <c r="I2" s="287"/>
      <c r="J2" s="257"/>
      <c r="K2" s="296" t="s">
        <v>126</v>
      </c>
      <c r="L2" s="269" t="s">
        <v>127</v>
      </c>
      <c r="M2" s="287" t="s">
        <v>128</v>
      </c>
      <c r="N2" s="282"/>
      <c r="O2" s="250" t="s">
        <v>129</v>
      </c>
      <c r="P2" s="266" t="s">
        <v>137</v>
      </c>
      <c r="Q2" s="257" t="s">
        <v>120</v>
      </c>
      <c r="R2" s="268" t="s">
        <v>151</v>
      </c>
      <c r="S2" s="268"/>
      <c r="T2" s="268"/>
      <c r="U2" s="268"/>
      <c r="V2" s="280" t="s">
        <v>130</v>
      </c>
      <c r="W2" s="284" t="s">
        <v>116</v>
      </c>
      <c r="X2" s="282" t="s">
        <v>103</v>
      </c>
      <c r="Y2" s="284" t="s">
        <v>104</v>
      </c>
      <c r="Z2" s="250" t="s">
        <v>133</v>
      </c>
      <c r="AA2" s="257" t="s">
        <v>155</v>
      </c>
      <c r="AB2" s="271" t="s">
        <v>134</v>
      </c>
      <c r="AC2" s="273" t="s">
        <v>111</v>
      </c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32"/>
      <c r="BB2" s="33"/>
    </row>
    <row r="3" spans="1:59" s="34" customFormat="1" ht="15" customHeight="1">
      <c r="A3" s="261"/>
      <c r="B3" s="263"/>
      <c r="C3" s="298"/>
      <c r="D3" s="292" t="s">
        <v>141</v>
      </c>
      <c r="E3" s="252" t="s">
        <v>140</v>
      </c>
      <c r="F3" s="294" t="s">
        <v>139</v>
      </c>
      <c r="G3" s="294" t="s">
        <v>138</v>
      </c>
      <c r="H3" s="250" t="s">
        <v>101</v>
      </c>
      <c r="I3" s="250" t="s">
        <v>146</v>
      </c>
      <c r="J3" s="257" t="s">
        <v>102</v>
      </c>
      <c r="K3" s="296"/>
      <c r="L3" s="269"/>
      <c r="M3" s="250" t="s">
        <v>113</v>
      </c>
      <c r="N3" s="250" t="s">
        <v>115</v>
      </c>
      <c r="O3" s="250"/>
      <c r="P3" s="266"/>
      <c r="Q3" s="257"/>
      <c r="R3" s="254" t="s">
        <v>131</v>
      </c>
      <c r="S3" s="255"/>
      <c r="T3" s="256" t="s">
        <v>132</v>
      </c>
      <c r="U3" s="255"/>
      <c r="V3" s="280"/>
      <c r="W3" s="284"/>
      <c r="X3" s="282"/>
      <c r="Y3" s="284"/>
      <c r="Z3" s="250"/>
      <c r="AA3" s="257"/>
      <c r="AB3" s="271"/>
      <c r="AC3" s="288">
        <v>43788</v>
      </c>
      <c r="AD3" s="289"/>
      <c r="AE3" s="290">
        <v>43816</v>
      </c>
      <c r="AF3" s="291"/>
      <c r="AG3" s="249">
        <v>43852</v>
      </c>
      <c r="AH3" s="249"/>
      <c r="AI3" s="249">
        <v>43879</v>
      </c>
      <c r="AJ3" s="249"/>
      <c r="AK3" s="249">
        <v>43907</v>
      </c>
      <c r="AL3" s="249"/>
      <c r="AM3" s="249">
        <v>43942</v>
      </c>
      <c r="AN3" s="249"/>
      <c r="AO3" s="249">
        <v>43970</v>
      </c>
      <c r="AP3" s="249"/>
      <c r="AQ3" s="249">
        <v>43998</v>
      </c>
      <c r="AR3" s="279"/>
      <c r="AS3" s="274">
        <v>44033</v>
      </c>
      <c r="AT3" s="275"/>
      <c r="AU3" s="276">
        <v>44061</v>
      </c>
      <c r="AV3" s="277"/>
      <c r="AW3" s="274">
        <v>44089</v>
      </c>
      <c r="AX3" s="275"/>
      <c r="AY3" s="274">
        <v>44124</v>
      </c>
      <c r="AZ3" s="278"/>
      <c r="BA3" s="35" t="s">
        <v>121</v>
      </c>
      <c r="BB3" s="36"/>
    </row>
    <row r="4" spans="1:59" s="55" customFormat="1" ht="19.5" customHeight="1">
      <c r="A4" s="262"/>
      <c r="B4" s="264"/>
      <c r="C4" s="299"/>
      <c r="D4" s="293"/>
      <c r="E4" s="253"/>
      <c r="F4" s="295"/>
      <c r="G4" s="295"/>
      <c r="H4" s="251"/>
      <c r="I4" s="251"/>
      <c r="J4" s="258"/>
      <c r="K4" s="297"/>
      <c r="L4" s="270"/>
      <c r="M4" s="251"/>
      <c r="N4" s="251"/>
      <c r="O4" s="265"/>
      <c r="P4" s="267"/>
      <c r="Q4" s="258"/>
      <c r="R4" s="37" t="s">
        <v>112</v>
      </c>
      <c r="S4" s="38" t="s">
        <v>115</v>
      </c>
      <c r="T4" s="39" t="s">
        <v>112</v>
      </c>
      <c r="U4" s="40" t="s">
        <v>115</v>
      </c>
      <c r="V4" s="281"/>
      <c r="W4" s="285"/>
      <c r="X4" s="283"/>
      <c r="Y4" s="285"/>
      <c r="Z4" s="251"/>
      <c r="AA4" s="258"/>
      <c r="AB4" s="272"/>
      <c r="AC4" s="41" t="s">
        <v>112</v>
      </c>
      <c r="AD4" s="42" t="s">
        <v>115</v>
      </c>
      <c r="AE4" s="43" t="s">
        <v>112</v>
      </c>
      <c r="AF4" s="44" t="s">
        <v>115</v>
      </c>
      <c r="AG4" s="45" t="s">
        <v>112</v>
      </c>
      <c r="AH4" s="44" t="s">
        <v>115</v>
      </c>
      <c r="AI4" s="46" t="s">
        <v>112</v>
      </c>
      <c r="AJ4" s="44" t="s">
        <v>115</v>
      </c>
      <c r="AK4" s="47" t="s">
        <v>112</v>
      </c>
      <c r="AL4" s="48" t="s">
        <v>115</v>
      </c>
      <c r="AM4" s="46" t="s">
        <v>112</v>
      </c>
      <c r="AN4" s="44" t="s">
        <v>115</v>
      </c>
      <c r="AO4" s="49" t="s">
        <v>112</v>
      </c>
      <c r="AP4" s="44" t="s">
        <v>115</v>
      </c>
      <c r="AQ4" s="43" t="s">
        <v>112</v>
      </c>
      <c r="AR4" s="44" t="s">
        <v>115</v>
      </c>
      <c r="AS4" s="50" t="s">
        <v>112</v>
      </c>
      <c r="AT4" s="48" t="s">
        <v>115</v>
      </c>
      <c r="AU4" s="51" t="s">
        <v>112</v>
      </c>
      <c r="AV4" s="52" t="s">
        <v>115</v>
      </c>
      <c r="AW4" s="46" t="s">
        <v>112</v>
      </c>
      <c r="AX4" s="44" t="s">
        <v>115</v>
      </c>
      <c r="AY4" s="49" t="s">
        <v>112</v>
      </c>
      <c r="AZ4" s="44" t="s">
        <v>115</v>
      </c>
      <c r="BA4" s="53" t="s">
        <v>122</v>
      </c>
      <c r="BB4" s="54"/>
    </row>
    <row r="5" spans="1:59" ht="12.75">
      <c r="A5" s="56" t="s">
        <v>2</v>
      </c>
      <c r="B5" s="57">
        <v>1</v>
      </c>
      <c r="C5" s="58">
        <v>7.2786279451609558E-3</v>
      </c>
      <c r="D5" s="233">
        <v>246972.37447625631</v>
      </c>
      <c r="E5" s="228">
        <v>267688.41389341996</v>
      </c>
      <c r="F5" s="9">
        <f>C5*Allocations!$B$6</f>
        <v>268354.27798455022</v>
      </c>
      <c r="G5" s="9">
        <f>C5*Allocations!$B$12</f>
        <v>127397.82492415218</v>
      </c>
      <c r="H5" s="11">
        <f t="shared" ref="H5:H36" si="0">SUM(D5:F5)</f>
        <v>783015.06635422655</v>
      </c>
      <c r="I5" s="15">
        <f>G5+H5</f>
        <v>910412.89127837878</v>
      </c>
      <c r="J5" s="59">
        <f t="shared" ref="J5:J36" si="1">SUM(D5:F5)/3</f>
        <v>261005.02211807552</v>
      </c>
      <c r="K5" s="60">
        <v>208694.15772385459</v>
      </c>
      <c r="L5" s="61">
        <f>F5+G5+K5</f>
        <v>604446.26063255698</v>
      </c>
      <c r="M5" s="11">
        <f t="shared" ref="M5:M36" si="2">AC5+AE5+AG5+AI5+AK5+AM5+AO5+AQ5+AS5+AU5+AW5+AY5+BA5</f>
        <v>0</v>
      </c>
      <c r="N5" s="11">
        <f t="shared" ref="N5:N36" si="3">AD5+AF5+AH5+AJ5+AL5+AN5+AP5+AR5+AT5+AV5+AX5+AZ5+BA5</f>
        <v>0</v>
      </c>
      <c r="O5" s="62">
        <f>L5-N5</f>
        <v>604446.26063255698</v>
      </c>
      <c r="P5" s="63">
        <f t="shared" ref="P5:P36" si="4">O5/J5</f>
        <v>2.3158414950311292</v>
      </c>
      <c r="Q5" s="71">
        <f t="shared" ref="Q5:Q36" si="5">(F5*6)+O5</f>
        <v>2214571.9285398582</v>
      </c>
      <c r="R5" s="223"/>
      <c r="S5" s="122"/>
      <c r="T5" s="122"/>
      <c r="U5" s="122"/>
      <c r="V5" s="65">
        <f t="shared" ref="V5:V68" si="6">IF(((O5-H5)-(S5+U5))&gt;0,((O5-H5)-(S5+U5)),0)</f>
        <v>0</v>
      </c>
      <c r="W5" s="121">
        <f>IF(V5&gt;0,0,F5)</f>
        <v>268354.27798455022</v>
      </c>
      <c r="X5" s="66">
        <f t="shared" ref="X5:X36" si="7">IF(W5&gt;0.01,F5/$W$104,0)</f>
        <v>7.3252753380242492E-3</v>
      </c>
      <c r="Y5" s="121">
        <f>IF(X5&gt;0.000000001,X5*$V$104,0)</f>
        <v>2327.6105113987378</v>
      </c>
      <c r="Z5" s="121">
        <f>C5*Allocations!$B$11</f>
        <v>262227.34657489619</v>
      </c>
      <c r="AA5" s="228">
        <f>G5</f>
        <v>127397.82492415218</v>
      </c>
      <c r="AB5" s="67">
        <f>K5-N5+Y5+Z5+AA5-V5</f>
        <v>600646.93973430176</v>
      </c>
      <c r="AC5" s="68"/>
      <c r="AD5" s="69"/>
      <c r="AE5" s="70"/>
      <c r="AF5" s="71"/>
      <c r="AG5" s="72"/>
      <c r="AH5" s="73"/>
      <c r="AI5" s="72"/>
      <c r="AJ5" s="73"/>
      <c r="AK5" s="72"/>
      <c r="AL5" s="73"/>
      <c r="AM5" s="72"/>
      <c r="AN5" s="73"/>
      <c r="AO5" s="72"/>
      <c r="AP5" s="74"/>
      <c r="AQ5" s="200"/>
      <c r="AR5" s="201"/>
      <c r="AS5" s="72"/>
      <c r="AT5" s="74"/>
      <c r="AU5" s="75"/>
      <c r="AV5" s="76"/>
      <c r="AW5" s="72"/>
      <c r="AX5" s="73"/>
      <c r="AY5" s="77"/>
      <c r="AZ5" s="78"/>
      <c r="BA5" s="79"/>
    </row>
    <row r="6" spans="1:59" ht="12.75">
      <c r="A6" s="56" t="s">
        <v>3</v>
      </c>
      <c r="B6" s="57">
        <v>2</v>
      </c>
      <c r="C6" s="58">
        <v>7.8705734712048465E-3</v>
      </c>
      <c r="D6" s="121">
        <v>309066.49576441396</v>
      </c>
      <c r="E6" s="228">
        <v>323922.47060908517</v>
      </c>
      <c r="F6" s="9">
        <f>C6*Allocations!$B$6</f>
        <v>290178.59919515724</v>
      </c>
      <c r="G6" s="9">
        <f>C6*Allocations!$B$12</f>
        <v>137758.6474664984</v>
      </c>
      <c r="H6" s="11">
        <f t="shared" si="0"/>
        <v>923167.56556865643</v>
      </c>
      <c r="I6" s="15">
        <f t="shared" ref="I6:I69" si="8">G6+H6</f>
        <v>1060926.2130351549</v>
      </c>
      <c r="J6" s="59">
        <f t="shared" si="1"/>
        <v>307722.52185621881</v>
      </c>
      <c r="K6" s="60">
        <v>-634508.04236930842</v>
      </c>
      <c r="L6" s="61">
        <f t="shared" ref="L6:L69" si="9">F6+G6+K6</f>
        <v>-206570.79570765281</v>
      </c>
      <c r="M6" s="11">
        <f t="shared" si="2"/>
        <v>0</v>
      </c>
      <c r="N6" s="11">
        <f t="shared" si="3"/>
        <v>0</v>
      </c>
      <c r="O6" s="62">
        <f t="shared" ref="O6:O69" si="10">L6-N6</f>
        <v>-206570.79570765281</v>
      </c>
      <c r="P6" s="80">
        <f t="shared" si="4"/>
        <v>-0.67128916811676065</v>
      </c>
      <c r="Q6" s="226">
        <f t="shared" si="5"/>
        <v>1534500.7994632907</v>
      </c>
      <c r="R6" s="223"/>
      <c r="S6" s="122"/>
      <c r="T6" s="122">
        <v>774105.11</v>
      </c>
      <c r="U6" s="122">
        <v>774105.11</v>
      </c>
      <c r="V6" s="65">
        <f t="shared" si="6"/>
        <v>0</v>
      </c>
      <c r="W6" s="121">
        <f t="shared" ref="W6:W69" si="11">IF(V6&gt;0,0,F6)</f>
        <v>290178.59919515724</v>
      </c>
      <c r="X6" s="66">
        <f t="shared" si="7"/>
        <v>7.9210145344844711E-3</v>
      </c>
      <c r="Y6" s="121">
        <f t="shared" ref="Y6:Y69" si="12">IF(X6&gt;0.000000001,X6*$V$104,0)</f>
        <v>2516.9069885611993</v>
      </c>
      <c r="Z6" s="121">
        <f>C6*Allocations!$B$11</f>
        <v>283553.38573789096</v>
      </c>
      <c r="AA6" s="228">
        <f t="shared" ref="AA6:AA69" si="13">G6</f>
        <v>137758.6474664984</v>
      </c>
      <c r="AB6" s="67">
        <f t="shared" ref="AB6:AB69" si="14">K6-N6+Y6+Z6+AA6-V6</f>
        <v>-210679.1021763579</v>
      </c>
      <c r="AC6" s="81"/>
      <c r="AD6" s="82"/>
      <c r="AE6" s="83"/>
      <c r="AF6" s="84"/>
      <c r="AG6" s="72"/>
      <c r="AH6" s="73"/>
      <c r="AI6" s="72"/>
      <c r="AJ6" s="73"/>
      <c r="AK6" s="72"/>
      <c r="AL6" s="73"/>
      <c r="AM6" s="72"/>
      <c r="AN6" s="73"/>
      <c r="AO6" s="72"/>
      <c r="AP6" s="73"/>
      <c r="AQ6" s="200"/>
      <c r="AR6" s="202"/>
      <c r="AS6" s="72"/>
      <c r="AT6" s="73"/>
      <c r="AU6" s="75"/>
      <c r="AV6" s="76"/>
      <c r="AW6" s="85"/>
      <c r="AX6" s="86"/>
      <c r="AY6" s="85"/>
      <c r="AZ6" s="73"/>
      <c r="BA6" s="79"/>
    </row>
    <row r="7" spans="1:59" ht="12.75">
      <c r="A7" s="56" t="s">
        <v>4</v>
      </c>
      <c r="B7" s="57">
        <v>3</v>
      </c>
      <c r="C7" s="58">
        <v>7.3123235199701007E-3</v>
      </c>
      <c r="D7" s="121">
        <v>276186.52909214032</v>
      </c>
      <c r="E7" s="228">
        <v>263350.15697235061</v>
      </c>
      <c r="F7" s="9">
        <f>C7*Allocations!$B$6</f>
        <v>269596.59339307365</v>
      </c>
      <c r="G7" s="9">
        <f>C7*Allocations!$B$12</f>
        <v>127987.59857003664</v>
      </c>
      <c r="H7" s="11">
        <f t="shared" si="0"/>
        <v>809133.27945756458</v>
      </c>
      <c r="I7" s="15">
        <f t="shared" si="8"/>
        <v>937120.87802760117</v>
      </c>
      <c r="J7" s="59">
        <f t="shared" si="1"/>
        <v>269711.09315252153</v>
      </c>
      <c r="K7" s="60">
        <v>47196.833382323384</v>
      </c>
      <c r="L7" s="61">
        <f t="shared" si="9"/>
        <v>444781.02534543368</v>
      </c>
      <c r="M7" s="11">
        <f t="shared" si="2"/>
        <v>0</v>
      </c>
      <c r="N7" s="11">
        <f t="shared" si="3"/>
        <v>0</v>
      </c>
      <c r="O7" s="62">
        <f t="shared" si="10"/>
        <v>444781.02534543368</v>
      </c>
      <c r="P7" s="80">
        <f t="shared" si="4"/>
        <v>1.6491017115633066</v>
      </c>
      <c r="Q7" s="226">
        <f t="shared" si="5"/>
        <v>2062360.5857038756</v>
      </c>
      <c r="R7" s="223"/>
      <c r="S7" s="122"/>
      <c r="T7" s="122">
        <v>1449876.73</v>
      </c>
      <c r="U7" s="122">
        <v>1449876.73</v>
      </c>
      <c r="V7" s="65">
        <f t="shared" si="6"/>
        <v>0</v>
      </c>
      <c r="W7" s="121">
        <f t="shared" si="11"/>
        <v>269596.59339307365</v>
      </c>
      <c r="X7" s="66">
        <f t="shared" si="7"/>
        <v>7.3591868615984256E-3</v>
      </c>
      <c r="Y7" s="121">
        <f t="shared" si="12"/>
        <v>2338.3859177946001</v>
      </c>
      <c r="Z7" s="121">
        <f>C7*Allocations!$B$11</f>
        <v>263441.29805587447</v>
      </c>
      <c r="AA7" s="228">
        <f t="shared" si="13"/>
        <v>127987.59857003664</v>
      </c>
      <c r="AB7" s="67">
        <f t="shared" si="14"/>
        <v>440964.1159260291</v>
      </c>
      <c r="AC7" s="81"/>
      <c r="AD7" s="82"/>
      <c r="AE7" s="83"/>
      <c r="AF7" s="84"/>
      <c r="AG7" s="72"/>
      <c r="AH7" s="73"/>
      <c r="AI7" s="72"/>
      <c r="AJ7" s="73"/>
      <c r="AK7" s="72"/>
      <c r="AL7" s="73"/>
      <c r="AM7" s="72"/>
      <c r="AN7" s="73"/>
      <c r="AO7" s="72"/>
      <c r="AP7" s="73"/>
      <c r="AQ7" s="200"/>
      <c r="AR7" s="202"/>
      <c r="AS7" s="72"/>
      <c r="AT7" s="73"/>
      <c r="AU7" s="75"/>
      <c r="AV7" s="76"/>
      <c r="AW7" s="72"/>
      <c r="AX7" s="73"/>
      <c r="AY7" s="77"/>
      <c r="AZ7" s="78"/>
      <c r="BA7" s="79"/>
    </row>
    <row r="8" spans="1:59" ht="12.75">
      <c r="A8" s="56" t="s">
        <v>5</v>
      </c>
      <c r="B8" s="57">
        <v>4</v>
      </c>
      <c r="C8" s="58">
        <v>8.704280072289839E-3</v>
      </c>
      <c r="D8" s="121">
        <v>266018.50799251028</v>
      </c>
      <c r="E8" s="228">
        <v>287050.43494263384</v>
      </c>
      <c r="F8" s="9">
        <f>C8*Allocations!$B$6</f>
        <v>320916.36112923961</v>
      </c>
      <c r="G8" s="9">
        <f>C8*Allocations!$B$12</f>
        <v>152351.01410528901</v>
      </c>
      <c r="H8" s="11">
        <f t="shared" si="0"/>
        <v>873985.30406438373</v>
      </c>
      <c r="I8" s="15">
        <f t="shared" si="8"/>
        <v>1026336.3181696727</v>
      </c>
      <c r="J8" s="59">
        <f t="shared" si="1"/>
        <v>291328.43468812789</v>
      </c>
      <c r="K8" s="60">
        <v>284408.05393007345</v>
      </c>
      <c r="L8" s="61">
        <f t="shared" si="9"/>
        <v>757675.42916460207</v>
      </c>
      <c r="M8" s="11">
        <f t="shared" si="2"/>
        <v>271442.26</v>
      </c>
      <c r="N8" s="11">
        <f t="shared" si="3"/>
        <v>271442.26</v>
      </c>
      <c r="O8" s="62">
        <f t="shared" si="10"/>
        <v>486233.16916460206</v>
      </c>
      <c r="P8" s="80">
        <f t="shared" si="4"/>
        <v>1.6690206353702586</v>
      </c>
      <c r="Q8" s="226">
        <f t="shared" si="5"/>
        <v>2411731.3359400397</v>
      </c>
      <c r="R8" s="223"/>
      <c r="S8" s="122"/>
      <c r="T8" s="122"/>
      <c r="U8" s="122"/>
      <c r="V8" s="65">
        <f t="shared" si="6"/>
        <v>0</v>
      </c>
      <c r="W8" s="121">
        <f t="shared" si="11"/>
        <v>320916.36112923961</v>
      </c>
      <c r="X8" s="66">
        <f t="shared" si="7"/>
        <v>8.7600642084187073E-3</v>
      </c>
      <c r="Y8" s="121">
        <f t="shared" si="12"/>
        <v>2783.5155118609887</v>
      </c>
      <c r="Z8" s="121">
        <f>C8*Allocations!$B$11</f>
        <v>313589.35837883881</v>
      </c>
      <c r="AA8" s="228">
        <f t="shared" si="13"/>
        <v>152351.01410528901</v>
      </c>
      <c r="AB8" s="67">
        <f t="shared" si="14"/>
        <v>481689.68192606227</v>
      </c>
      <c r="AC8" s="87">
        <v>271442.26</v>
      </c>
      <c r="AD8" s="88">
        <v>271442.26</v>
      </c>
      <c r="AE8" s="83"/>
      <c r="AF8" s="84"/>
      <c r="AG8" s="72"/>
      <c r="AH8" s="73"/>
      <c r="AI8" s="72"/>
      <c r="AJ8" s="73"/>
      <c r="AK8" s="89"/>
      <c r="AL8" s="73"/>
      <c r="AM8" s="72"/>
      <c r="AN8" s="73"/>
      <c r="AO8" s="86"/>
      <c r="AP8" s="90"/>
      <c r="AQ8" s="200"/>
      <c r="AR8" s="202"/>
      <c r="AS8" s="72"/>
      <c r="AT8" s="73"/>
      <c r="AU8" s="75"/>
      <c r="AV8" s="76"/>
      <c r="AW8" s="72"/>
      <c r="AX8" s="73"/>
      <c r="AY8" s="77"/>
      <c r="AZ8" s="78"/>
      <c r="BA8" s="79"/>
    </row>
    <row r="9" spans="1:59" ht="12.75">
      <c r="A9" s="91" t="s">
        <v>6</v>
      </c>
      <c r="B9" s="92">
        <v>5</v>
      </c>
      <c r="C9" s="93">
        <v>5.926726616971717E-3</v>
      </c>
      <c r="D9" s="221">
        <v>281389.03328670474</v>
      </c>
      <c r="E9" s="229">
        <v>228145.69163384559</v>
      </c>
      <c r="F9" s="10">
        <f>C9*Allocations!$B$6</f>
        <v>218511.29829580683</v>
      </c>
      <c r="G9" s="10">
        <f>C9*Allocations!$B$12</f>
        <v>103735.49597685593</v>
      </c>
      <c r="H9" s="12">
        <f t="shared" si="0"/>
        <v>728046.02321635722</v>
      </c>
      <c r="I9" s="16">
        <f t="shared" si="8"/>
        <v>831781.5191932132</v>
      </c>
      <c r="J9" s="94">
        <f t="shared" si="1"/>
        <v>242682.00773878573</v>
      </c>
      <c r="K9" s="95">
        <v>-659926.27845750854</v>
      </c>
      <c r="L9" s="96">
        <f t="shared" si="9"/>
        <v>-337679.48418484576</v>
      </c>
      <c r="M9" s="12">
        <f t="shared" si="2"/>
        <v>527745.1</v>
      </c>
      <c r="N9" s="12">
        <f t="shared" si="3"/>
        <v>527745.1</v>
      </c>
      <c r="O9" s="97">
        <f t="shared" si="10"/>
        <v>-865424.58418484568</v>
      </c>
      <c r="P9" s="98">
        <f t="shared" si="4"/>
        <v>-3.5660846564132513</v>
      </c>
      <c r="Q9" s="227">
        <f t="shared" si="5"/>
        <v>445643.20558999525</v>
      </c>
      <c r="R9" s="224">
        <v>575300.88</v>
      </c>
      <c r="S9" s="222">
        <v>575300.88</v>
      </c>
      <c r="T9" s="222"/>
      <c r="U9" s="222"/>
      <c r="V9" s="99">
        <f t="shared" si="6"/>
        <v>0</v>
      </c>
      <c r="W9" s="221">
        <f t="shared" si="11"/>
        <v>218511.29829580683</v>
      </c>
      <c r="X9" s="100">
        <f t="shared" si="7"/>
        <v>5.9647099219267427E-3</v>
      </c>
      <c r="Y9" s="221">
        <f t="shared" si="12"/>
        <v>1895.290056832956</v>
      </c>
      <c r="Z9" s="221">
        <f>C9*Allocations!$B$11</f>
        <v>213522.35700913228</v>
      </c>
      <c r="AA9" s="229">
        <f t="shared" si="13"/>
        <v>103735.49597685593</v>
      </c>
      <c r="AB9" s="101">
        <f t="shared" si="14"/>
        <v>-868518.23541468719</v>
      </c>
      <c r="AC9" s="102"/>
      <c r="AD9" s="103"/>
      <c r="AE9" s="104"/>
      <c r="AF9" s="105"/>
      <c r="AG9" s="187">
        <v>527745.1</v>
      </c>
      <c r="AH9" s="107">
        <v>527745.1</v>
      </c>
      <c r="AI9" s="106"/>
      <c r="AJ9" s="107"/>
      <c r="AK9" s="106"/>
      <c r="AL9" s="107"/>
      <c r="AM9" s="106"/>
      <c r="AN9" s="107"/>
      <c r="AO9" s="106"/>
      <c r="AP9" s="107"/>
      <c r="AQ9" s="203"/>
      <c r="AR9" s="204"/>
      <c r="AS9" s="106"/>
      <c r="AT9" s="107"/>
      <c r="AU9" s="108"/>
      <c r="AV9" s="109"/>
      <c r="AW9" s="106"/>
      <c r="AX9" s="107"/>
      <c r="AY9" s="110"/>
      <c r="AZ9" s="111"/>
      <c r="BA9" s="112"/>
    </row>
    <row r="10" spans="1:59" ht="12.75">
      <c r="A10" s="113" t="s">
        <v>7</v>
      </c>
      <c r="B10" s="57">
        <v>6</v>
      </c>
      <c r="C10" s="58">
        <v>1.9522615205489903E-2</v>
      </c>
      <c r="D10" s="121">
        <v>702875.55693323945</v>
      </c>
      <c r="E10" s="228">
        <v>736675.2556771012</v>
      </c>
      <c r="F10" s="9">
        <f>C10*Allocations!$B$6</f>
        <v>719775.39548816613</v>
      </c>
      <c r="G10" s="9">
        <f>C10*Allocations!$B$12</f>
        <v>341704.33394168969</v>
      </c>
      <c r="H10" s="11">
        <f t="shared" si="0"/>
        <v>2159326.208098507</v>
      </c>
      <c r="I10" s="15">
        <f t="shared" si="8"/>
        <v>2501030.5420401967</v>
      </c>
      <c r="J10" s="59">
        <f t="shared" si="1"/>
        <v>719775.4026995023</v>
      </c>
      <c r="K10" s="60">
        <v>2646694.1701565152</v>
      </c>
      <c r="L10" s="61">
        <f t="shared" si="9"/>
        <v>3708173.8995863711</v>
      </c>
      <c r="M10" s="11">
        <f t="shared" si="2"/>
        <v>1553958.9</v>
      </c>
      <c r="N10" s="11">
        <f t="shared" si="3"/>
        <v>830441.02</v>
      </c>
      <c r="O10" s="62">
        <f t="shared" si="10"/>
        <v>2877732.8795863711</v>
      </c>
      <c r="P10" s="80">
        <f t="shared" si="4"/>
        <v>3.9980983912391217</v>
      </c>
      <c r="Q10" s="226">
        <f t="shared" si="5"/>
        <v>7196385.2525153682</v>
      </c>
      <c r="R10" s="223">
        <v>1932440.2</v>
      </c>
      <c r="S10" s="122">
        <v>881005.2</v>
      </c>
      <c r="T10" s="122">
        <v>635596.5</v>
      </c>
      <c r="U10" s="122">
        <v>635596.5</v>
      </c>
      <c r="V10" s="65">
        <f t="shared" si="6"/>
        <v>0</v>
      </c>
      <c r="W10" s="121">
        <f t="shared" si="11"/>
        <v>719775.39548816613</v>
      </c>
      <c r="X10" s="66">
        <f t="shared" si="7"/>
        <v>1.9647732069282185E-2</v>
      </c>
      <c r="Y10" s="121">
        <f t="shared" si="12"/>
        <v>6243.0783252909168</v>
      </c>
      <c r="Z10" s="121">
        <f>C10*Allocations!$B$11</f>
        <v>703341.84163676633</v>
      </c>
      <c r="AA10" s="228">
        <f t="shared" si="13"/>
        <v>341704.33394168969</v>
      </c>
      <c r="AB10" s="67">
        <f t="shared" si="14"/>
        <v>2867542.4040602623</v>
      </c>
      <c r="AC10" s="81"/>
      <c r="AD10" s="82"/>
      <c r="AE10" s="83"/>
      <c r="AF10" s="84"/>
      <c r="AG10" s="72"/>
      <c r="AH10" s="73"/>
      <c r="AI10" s="72"/>
      <c r="AJ10" s="73"/>
      <c r="AK10" s="72"/>
      <c r="AL10" s="73"/>
      <c r="AM10" s="72"/>
      <c r="AN10" s="73"/>
      <c r="AO10" s="72"/>
      <c r="AP10" s="73"/>
      <c r="AQ10" s="205">
        <v>372896.05</v>
      </c>
      <c r="AR10" s="206">
        <v>372896.05</v>
      </c>
      <c r="AS10" s="72"/>
      <c r="AT10" s="73"/>
      <c r="AU10" s="75"/>
      <c r="AV10" s="76"/>
      <c r="AW10" s="72">
        <v>276665.5</v>
      </c>
      <c r="AX10" s="73">
        <v>276665.5</v>
      </c>
      <c r="AY10" s="217">
        <v>904397.35</v>
      </c>
      <c r="AZ10" s="78">
        <v>180879.47</v>
      </c>
      <c r="BA10" s="79"/>
      <c r="BB10" s="30" t="s">
        <v>147</v>
      </c>
      <c r="BC10" s="114"/>
      <c r="BD10" s="114"/>
      <c r="BE10" s="114"/>
      <c r="BF10" s="114"/>
      <c r="BG10" s="114"/>
    </row>
    <row r="11" spans="1:59" ht="12.75">
      <c r="A11" s="113" t="s">
        <v>8</v>
      </c>
      <c r="B11" s="57">
        <v>7</v>
      </c>
      <c r="C11" s="58">
        <v>1.0176932706520704E-2</v>
      </c>
      <c r="D11" s="121">
        <v>482583.4312223462</v>
      </c>
      <c r="E11" s="228">
        <v>463127.67499717412</v>
      </c>
      <c r="F11" s="9">
        <f>C11*Allocations!$B$6</f>
        <v>375211.29657017055</v>
      </c>
      <c r="G11" s="9">
        <f>C11*Allocations!$B$12</f>
        <v>178126.85316223186</v>
      </c>
      <c r="H11" s="11">
        <f t="shared" si="0"/>
        <v>1320922.402789691</v>
      </c>
      <c r="I11" s="15">
        <f t="shared" si="8"/>
        <v>1499049.2559519229</v>
      </c>
      <c r="J11" s="59">
        <f t="shared" si="1"/>
        <v>440307.46759656369</v>
      </c>
      <c r="K11" s="60">
        <v>254713.91806014205</v>
      </c>
      <c r="L11" s="61">
        <f t="shared" si="9"/>
        <v>808052.06779254449</v>
      </c>
      <c r="M11" s="11">
        <f t="shared" si="2"/>
        <v>328910.75</v>
      </c>
      <c r="N11" s="11">
        <f t="shared" si="3"/>
        <v>328910.75</v>
      </c>
      <c r="O11" s="62">
        <f t="shared" si="10"/>
        <v>479141.31779254449</v>
      </c>
      <c r="P11" s="80">
        <f t="shared" si="4"/>
        <v>1.088197119181187</v>
      </c>
      <c r="Q11" s="226">
        <f t="shared" si="5"/>
        <v>2730409.0972135677</v>
      </c>
      <c r="R11" s="223"/>
      <c r="S11" s="122"/>
      <c r="T11" s="122"/>
      <c r="U11" s="122"/>
      <c r="V11" s="65">
        <f t="shared" si="6"/>
        <v>0</v>
      </c>
      <c r="W11" s="121">
        <f t="shared" si="11"/>
        <v>375211.29657017055</v>
      </c>
      <c r="X11" s="66">
        <f t="shared" si="7"/>
        <v>1.0242154803553428E-2</v>
      </c>
      <c r="Y11" s="121">
        <f t="shared" si="12"/>
        <v>3254.4506629499633</v>
      </c>
      <c r="Z11" s="121">
        <f>C11*Allocations!$B$11</f>
        <v>366644.65885722474</v>
      </c>
      <c r="AA11" s="228">
        <f t="shared" si="13"/>
        <v>178126.85316223186</v>
      </c>
      <c r="AB11" s="67">
        <f t="shared" si="14"/>
        <v>473829.13074254862</v>
      </c>
      <c r="AC11" s="81"/>
      <c r="AD11" s="82"/>
      <c r="AE11" s="83"/>
      <c r="AF11" s="84"/>
      <c r="AG11" s="72"/>
      <c r="AH11" s="73"/>
      <c r="AI11" s="188">
        <v>328910.75</v>
      </c>
      <c r="AJ11" s="59">
        <v>328910.75</v>
      </c>
      <c r="AK11" s="72"/>
      <c r="AL11" s="73"/>
      <c r="AM11" s="72"/>
      <c r="AN11" s="73"/>
      <c r="AO11" s="72"/>
      <c r="AP11" s="73"/>
      <c r="AQ11" s="200"/>
      <c r="AR11" s="202"/>
      <c r="AS11" s="72"/>
      <c r="AT11" s="73"/>
      <c r="AU11" s="75"/>
      <c r="AV11" s="76"/>
      <c r="AW11" s="72"/>
      <c r="AX11" s="73"/>
      <c r="AY11" s="77"/>
      <c r="AZ11" s="78"/>
      <c r="BA11" s="79"/>
      <c r="BB11" s="215" t="s">
        <v>148</v>
      </c>
    </row>
    <row r="12" spans="1:59" ht="12.75">
      <c r="A12" s="113" t="s">
        <v>9</v>
      </c>
      <c r="B12" s="57">
        <v>8</v>
      </c>
      <c r="C12" s="58">
        <v>8.2965845069319696E-3</v>
      </c>
      <c r="D12" s="121">
        <v>325301.7778185074</v>
      </c>
      <c r="E12" s="228">
        <v>389797.58186511137</v>
      </c>
      <c r="F12" s="9">
        <f>C12*Allocations!$B$6</f>
        <v>305885.11486917338</v>
      </c>
      <c r="G12" s="9">
        <f>C12*Allocations!$B$12</f>
        <v>145215.11862483024</v>
      </c>
      <c r="H12" s="11">
        <f t="shared" si="0"/>
        <v>1020984.4745527921</v>
      </c>
      <c r="I12" s="15">
        <f t="shared" si="8"/>
        <v>1166199.5931776224</v>
      </c>
      <c r="J12" s="59">
        <f t="shared" si="1"/>
        <v>340328.15818426403</v>
      </c>
      <c r="K12" s="60">
        <v>154611.83486443752</v>
      </c>
      <c r="L12" s="61">
        <f t="shared" si="9"/>
        <v>605712.06835844112</v>
      </c>
      <c r="M12" s="11">
        <f t="shared" si="2"/>
        <v>517957.05</v>
      </c>
      <c r="N12" s="11">
        <f t="shared" si="3"/>
        <v>517957.05</v>
      </c>
      <c r="O12" s="62">
        <f t="shared" si="10"/>
        <v>87755.018358441128</v>
      </c>
      <c r="P12" s="80">
        <f t="shared" si="4"/>
        <v>0.25785412181770717</v>
      </c>
      <c r="Q12" s="226">
        <f t="shared" si="5"/>
        <v>1923065.7075734814</v>
      </c>
      <c r="R12" s="223"/>
      <c r="S12" s="122"/>
      <c r="T12" s="122"/>
      <c r="U12" s="122"/>
      <c r="V12" s="65">
        <f t="shared" si="6"/>
        <v>0</v>
      </c>
      <c r="W12" s="121">
        <f t="shared" si="11"/>
        <v>305885.11486917338</v>
      </c>
      <c r="X12" s="66">
        <f t="shared" si="7"/>
        <v>8.3497557968830755E-3</v>
      </c>
      <c r="Y12" s="121">
        <f t="shared" si="12"/>
        <v>2653.1397747677743</v>
      </c>
      <c r="Z12" s="121">
        <f>C12*Allocations!$B$11</f>
        <v>298901.29805763194</v>
      </c>
      <c r="AA12" s="228">
        <f t="shared" si="13"/>
        <v>145215.11862483024</v>
      </c>
      <c r="AB12" s="67">
        <f t="shared" si="14"/>
        <v>83424.341321667511</v>
      </c>
      <c r="AC12" s="81"/>
      <c r="AD12" s="82"/>
      <c r="AE12" s="83"/>
      <c r="AF12" s="84"/>
      <c r="AG12" s="188">
        <v>517957.05</v>
      </c>
      <c r="AH12" s="73">
        <v>517957.05</v>
      </c>
      <c r="AI12" s="72"/>
      <c r="AJ12" s="73"/>
      <c r="AK12" s="72"/>
      <c r="AL12" s="73"/>
      <c r="AM12" s="72"/>
      <c r="AN12" s="73"/>
      <c r="AO12" s="72"/>
      <c r="AP12" s="73"/>
      <c r="AQ12" s="200"/>
      <c r="AR12" s="202"/>
      <c r="AS12" s="72"/>
      <c r="AT12" s="73"/>
      <c r="AU12" s="75"/>
      <c r="AV12" s="76"/>
      <c r="AW12" s="72"/>
      <c r="AX12" s="73"/>
      <c r="AY12" s="77"/>
      <c r="AZ12" s="78"/>
      <c r="BA12" s="79"/>
    </row>
    <row r="13" spans="1:59" ht="12.75">
      <c r="A13" s="113" t="s">
        <v>10</v>
      </c>
      <c r="B13" s="57">
        <v>9</v>
      </c>
      <c r="C13" s="58">
        <v>1.0347667257443047E-2</v>
      </c>
      <c r="D13" s="121">
        <v>371910.01954686973</v>
      </c>
      <c r="E13" s="228">
        <v>388214.96573149529</v>
      </c>
      <c r="F13" s="9">
        <f>C13*Allocations!$B$6</f>
        <v>381506.07458121621</v>
      </c>
      <c r="G13" s="9">
        <f>C13*Allocations!$B$12</f>
        <v>181115.22000702561</v>
      </c>
      <c r="H13" s="11">
        <f t="shared" si="0"/>
        <v>1141631.0598595813</v>
      </c>
      <c r="I13" s="15">
        <f t="shared" si="8"/>
        <v>1322746.2798666069</v>
      </c>
      <c r="J13" s="59">
        <f t="shared" si="1"/>
        <v>380543.68661986041</v>
      </c>
      <c r="K13" s="60">
        <v>899366.8048553234</v>
      </c>
      <c r="L13" s="61">
        <f t="shared" si="9"/>
        <v>1461988.0994435651</v>
      </c>
      <c r="M13" s="11">
        <f t="shared" si="2"/>
        <v>420135.7</v>
      </c>
      <c r="N13" s="11">
        <f t="shared" si="3"/>
        <v>420135.7</v>
      </c>
      <c r="O13" s="62">
        <f t="shared" si="10"/>
        <v>1041852.3994435652</v>
      </c>
      <c r="P13" s="80">
        <f t="shared" si="4"/>
        <v>2.7377997220180168</v>
      </c>
      <c r="Q13" s="226">
        <f t="shared" si="5"/>
        <v>3330888.8469308624</v>
      </c>
      <c r="R13" s="223"/>
      <c r="S13" s="122"/>
      <c r="T13" s="122"/>
      <c r="U13" s="122"/>
      <c r="V13" s="65">
        <f t="shared" si="6"/>
        <v>0</v>
      </c>
      <c r="W13" s="121">
        <f t="shared" si="11"/>
        <v>381506.07458121621</v>
      </c>
      <c r="X13" s="66">
        <f t="shared" si="7"/>
        <v>1.0413983560929544E-2</v>
      </c>
      <c r="Y13" s="121">
        <f t="shared" si="12"/>
        <v>3309.04935083179</v>
      </c>
      <c r="Z13" s="121">
        <f>C13*Allocations!$B$11</f>
        <v>372795.71762741334</v>
      </c>
      <c r="AA13" s="228">
        <f t="shared" si="13"/>
        <v>181115.22000702561</v>
      </c>
      <c r="AB13" s="67">
        <f t="shared" si="14"/>
        <v>1036451.0918405941</v>
      </c>
      <c r="AC13" s="81"/>
      <c r="AD13" s="82"/>
      <c r="AE13" s="115">
        <v>420135.7</v>
      </c>
      <c r="AF13" s="59">
        <v>420135.7</v>
      </c>
      <c r="AG13" s="72"/>
      <c r="AH13" s="73"/>
      <c r="AI13" s="72"/>
      <c r="AJ13" s="73"/>
      <c r="AK13" s="72"/>
      <c r="AL13" s="73"/>
      <c r="AM13" s="72"/>
      <c r="AN13" s="73"/>
      <c r="AO13" s="72"/>
      <c r="AP13" s="73"/>
      <c r="AQ13" s="200"/>
      <c r="AR13" s="202"/>
      <c r="AS13" s="72"/>
      <c r="AT13" s="73"/>
      <c r="AU13" s="75"/>
      <c r="AV13" s="76"/>
      <c r="AW13" s="72"/>
      <c r="AX13" s="73"/>
      <c r="AY13" s="77"/>
      <c r="AZ13" s="78"/>
      <c r="BA13" s="79"/>
    </row>
    <row r="14" spans="1:59" ht="12.75">
      <c r="A14" s="91" t="s">
        <v>11</v>
      </c>
      <c r="B14" s="92">
        <v>10</v>
      </c>
      <c r="C14" s="93">
        <v>9.6620955940997892E-3</v>
      </c>
      <c r="D14" s="221">
        <v>367393.87243935058</v>
      </c>
      <c r="E14" s="229">
        <v>369846.92059966916</v>
      </c>
      <c r="F14" s="10">
        <f>C14*Allocations!$B$6</f>
        <v>356229.87003974628</v>
      </c>
      <c r="G14" s="10">
        <f>C14*Allocations!$B$12</f>
        <v>169115.65918352857</v>
      </c>
      <c r="H14" s="12">
        <f t="shared" si="0"/>
        <v>1093470.6630787659</v>
      </c>
      <c r="I14" s="16">
        <f t="shared" si="8"/>
        <v>1262586.3222622944</v>
      </c>
      <c r="J14" s="94">
        <f t="shared" si="1"/>
        <v>364490.22102625528</v>
      </c>
      <c r="K14" s="95">
        <v>-2175736.606636629</v>
      </c>
      <c r="L14" s="96">
        <f t="shared" si="9"/>
        <v>-1650391.0774133541</v>
      </c>
      <c r="M14" s="12">
        <f t="shared" si="2"/>
        <v>152983.35</v>
      </c>
      <c r="N14" s="12">
        <f t="shared" si="3"/>
        <v>122386.68</v>
      </c>
      <c r="O14" s="97">
        <f t="shared" si="10"/>
        <v>-1772777.757413354</v>
      </c>
      <c r="P14" s="98">
        <f t="shared" si="4"/>
        <v>-4.8637182979064226</v>
      </c>
      <c r="Q14" s="227">
        <f t="shared" si="5"/>
        <v>364601.46282512392</v>
      </c>
      <c r="R14" s="224"/>
      <c r="S14" s="222"/>
      <c r="T14" s="222"/>
      <c r="U14" s="222"/>
      <c r="V14" s="99">
        <f t="shared" si="6"/>
        <v>0</v>
      </c>
      <c r="W14" s="221">
        <f t="shared" si="11"/>
        <v>356229.87003974628</v>
      </c>
      <c r="X14" s="100">
        <f t="shared" si="7"/>
        <v>9.7240181944107888E-3</v>
      </c>
      <c r="Y14" s="221">
        <f t="shared" si="12"/>
        <v>3089.8124531722824</v>
      </c>
      <c r="Z14" s="221">
        <f>C14*Allocations!$B$11</f>
        <v>348096.60681698093</v>
      </c>
      <c r="AA14" s="229">
        <f t="shared" si="13"/>
        <v>169115.65918352857</v>
      </c>
      <c r="AB14" s="101">
        <f t="shared" si="14"/>
        <v>-1777821.2081829475</v>
      </c>
      <c r="AC14" s="116">
        <v>152983.35</v>
      </c>
      <c r="AD14" s="117">
        <v>122386.68</v>
      </c>
      <c r="AE14" s="104"/>
      <c r="AF14" s="105"/>
      <c r="AG14" s="106"/>
      <c r="AH14" s="107"/>
      <c r="AI14" s="106"/>
      <c r="AJ14" s="107"/>
      <c r="AK14" s="106"/>
      <c r="AL14" s="107"/>
      <c r="AM14" s="106"/>
      <c r="AN14" s="107"/>
      <c r="AO14" s="106"/>
      <c r="AP14" s="107"/>
      <c r="AQ14" s="203"/>
      <c r="AR14" s="204"/>
      <c r="AS14" s="106"/>
      <c r="AT14" s="107"/>
      <c r="AU14" s="108"/>
      <c r="AV14" s="109"/>
      <c r="AW14" s="106"/>
      <c r="AX14" s="107"/>
      <c r="AY14" s="110"/>
      <c r="AZ14" s="111"/>
      <c r="BA14" s="112"/>
    </row>
    <row r="15" spans="1:59" ht="12.75">
      <c r="A15" s="113" t="s">
        <v>12</v>
      </c>
      <c r="B15" s="57">
        <v>11</v>
      </c>
      <c r="C15" s="58">
        <v>8.659707590147522E-3</v>
      </c>
      <c r="D15" s="121">
        <v>182008.98305837525</v>
      </c>
      <c r="E15" s="228">
        <v>273501.53919531748</v>
      </c>
      <c r="F15" s="9">
        <f>C15*Allocations!$B$6</f>
        <v>319273.02719963097</v>
      </c>
      <c r="G15" s="9">
        <f>C15*Allocations!$B$12</f>
        <v>151570.86195035203</v>
      </c>
      <c r="H15" s="11">
        <f t="shared" si="0"/>
        <v>774783.54945332371</v>
      </c>
      <c r="I15" s="15">
        <f t="shared" si="8"/>
        <v>926354.4114036758</v>
      </c>
      <c r="J15" s="59">
        <f t="shared" si="1"/>
        <v>258261.18315110789</v>
      </c>
      <c r="K15" s="60">
        <v>265421.02010691894</v>
      </c>
      <c r="L15" s="61">
        <f t="shared" si="9"/>
        <v>736264.90925690194</v>
      </c>
      <c r="M15" s="11">
        <f t="shared" si="2"/>
        <v>0</v>
      </c>
      <c r="N15" s="11">
        <f t="shared" si="3"/>
        <v>0</v>
      </c>
      <c r="O15" s="62">
        <f t="shared" si="10"/>
        <v>736264.90925690194</v>
      </c>
      <c r="P15" s="80">
        <f t="shared" si="4"/>
        <v>2.8508539311775531</v>
      </c>
      <c r="Q15" s="226">
        <f t="shared" si="5"/>
        <v>2651903.0724546877</v>
      </c>
      <c r="R15" s="223"/>
      <c r="S15" s="122"/>
      <c r="T15" s="122"/>
      <c r="U15" s="122"/>
      <c r="V15" s="65">
        <f t="shared" si="6"/>
        <v>0</v>
      </c>
      <c r="W15" s="121">
        <f t="shared" si="11"/>
        <v>319273.02719963097</v>
      </c>
      <c r="X15" s="66">
        <f t="shared" si="7"/>
        <v>8.7152060694052E-3</v>
      </c>
      <c r="Y15" s="121">
        <f t="shared" si="12"/>
        <v>2769.2618120242551</v>
      </c>
      <c r="Z15" s="121">
        <f>C15*Allocations!$B$11</f>
        <v>311983.54423220322</v>
      </c>
      <c r="AA15" s="228">
        <f t="shared" si="13"/>
        <v>151570.86195035203</v>
      </c>
      <c r="AB15" s="67">
        <f t="shared" si="14"/>
        <v>731744.68810149841</v>
      </c>
      <c r="AC15" s="81"/>
      <c r="AD15" s="82"/>
      <c r="AE15" s="83"/>
      <c r="AF15" s="84"/>
      <c r="AG15" s="72"/>
      <c r="AH15" s="73"/>
      <c r="AI15" s="72"/>
      <c r="AJ15" s="73"/>
      <c r="AK15" s="72"/>
      <c r="AL15" s="73"/>
      <c r="AM15" s="72"/>
      <c r="AN15" s="73"/>
      <c r="AO15" s="72"/>
      <c r="AP15" s="73"/>
      <c r="AQ15" s="200"/>
      <c r="AR15" s="202"/>
      <c r="AS15" s="72"/>
      <c r="AT15" s="73"/>
      <c r="AU15" s="75"/>
      <c r="AV15" s="76"/>
      <c r="AW15" s="72"/>
      <c r="AX15" s="73"/>
      <c r="AY15" s="77"/>
      <c r="AZ15" s="78"/>
      <c r="BA15" s="79"/>
    </row>
    <row r="16" spans="1:59" ht="12.75">
      <c r="A16" s="113" t="s">
        <v>13</v>
      </c>
      <c r="B16" s="57">
        <v>12</v>
      </c>
      <c r="C16" s="58">
        <v>1.4998549402278011E-2</v>
      </c>
      <c r="D16" s="121">
        <v>528706.8724451114</v>
      </c>
      <c r="E16" s="228">
        <v>537886.30165360763</v>
      </c>
      <c r="F16" s="9">
        <f>C16*Allocations!$B$6</f>
        <v>552978.51820270752</v>
      </c>
      <c r="G16" s="9">
        <f>C16*Allocations!$B$12</f>
        <v>262519.61018807197</v>
      </c>
      <c r="H16" s="11">
        <f t="shared" si="0"/>
        <v>1619571.6923014265</v>
      </c>
      <c r="I16" s="15">
        <f t="shared" si="8"/>
        <v>1882091.3024894986</v>
      </c>
      <c r="J16" s="59">
        <f t="shared" si="1"/>
        <v>539857.23076714214</v>
      </c>
      <c r="K16" s="60">
        <v>-331636.3243265273</v>
      </c>
      <c r="L16" s="61">
        <f t="shared" si="9"/>
        <v>483861.80406425218</v>
      </c>
      <c r="M16" s="11">
        <f t="shared" si="2"/>
        <v>0</v>
      </c>
      <c r="N16" s="11">
        <f t="shared" si="3"/>
        <v>0</v>
      </c>
      <c r="O16" s="62">
        <f t="shared" si="10"/>
        <v>483861.80406425218</v>
      </c>
      <c r="P16" s="80">
        <f t="shared" si="4"/>
        <v>0.89627734239417345</v>
      </c>
      <c r="Q16" s="226">
        <f t="shared" si="5"/>
        <v>3801732.9132804973</v>
      </c>
      <c r="R16" s="223"/>
      <c r="S16" s="122"/>
      <c r="T16" s="122"/>
      <c r="U16" s="122"/>
      <c r="V16" s="65">
        <f t="shared" si="6"/>
        <v>0</v>
      </c>
      <c r="W16" s="121">
        <f t="shared" si="11"/>
        <v>552978.51820270752</v>
      </c>
      <c r="X16" s="66">
        <f t="shared" si="7"/>
        <v>1.5094672357266078E-2</v>
      </c>
      <c r="Y16" s="121">
        <f t="shared" si="12"/>
        <v>4796.3409460549856</v>
      </c>
      <c r="Z16" s="121">
        <f>C16*Allocations!$B$11</f>
        <v>540353.1876975043</v>
      </c>
      <c r="AA16" s="228">
        <f t="shared" si="13"/>
        <v>262519.61018807197</v>
      </c>
      <c r="AB16" s="67">
        <f t="shared" si="14"/>
        <v>476032.81450510392</v>
      </c>
      <c r="AC16" s="81"/>
      <c r="AD16" s="82"/>
      <c r="AE16" s="83"/>
      <c r="AF16" s="84"/>
      <c r="AG16" s="72"/>
      <c r="AH16" s="73"/>
      <c r="AI16" s="72"/>
      <c r="AJ16" s="73"/>
      <c r="AK16" s="72"/>
      <c r="AL16" s="73"/>
      <c r="AM16" s="72"/>
      <c r="AN16" s="73"/>
      <c r="AO16" s="72"/>
      <c r="AP16" s="73"/>
      <c r="AQ16" s="200"/>
      <c r="AR16" s="202"/>
      <c r="AS16" s="72"/>
      <c r="AT16" s="73"/>
      <c r="AU16" s="75"/>
      <c r="AV16" s="76"/>
      <c r="AW16" s="72"/>
      <c r="AX16" s="73"/>
      <c r="AY16" s="77"/>
      <c r="AZ16" s="78"/>
      <c r="BA16" s="79"/>
    </row>
    <row r="17" spans="1:54" ht="12.75">
      <c r="A17" s="113" t="s">
        <v>14</v>
      </c>
      <c r="B17" s="57">
        <v>13</v>
      </c>
      <c r="C17" s="58">
        <v>6.5374980552612514E-3</v>
      </c>
      <c r="D17" s="121">
        <v>223678.96767230658</v>
      </c>
      <c r="E17" s="228">
        <v>239954.7948742304</v>
      </c>
      <c r="F17" s="9">
        <f>C17*Allocations!$B$6</f>
        <v>241029.70829981603</v>
      </c>
      <c r="G17" s="9">
        <f>C17*Allocations!$B$12</f>
        <v>114425.82846123766</v>
      </c>
      <c r="H17" s="11">
        <f t="shared" si="0"/>
        <v>704663.47084635298</v>
      </c>
      <c r="I17" s="15">
        <f t="shared" si="8"/>
        <v>819089.29930759058</v>
      </c>
      <c r="J17" s="59">
        <f t="shared" si="1"/>
        <v>234887.82361545099</v>
      </c>
      <c r="K17" s="60">
        <v>739572.82181735197</v>
      </c>
      <c r="L17" s="61">
        <f t="shared" si="9"/>
        <v>1095028.3585784058</v>
      </c>
      <c r="M17" s="11">
        <f t="shared" si="2"/>
        <v>365363.15</v>
      </c>
      <c r="N17" s="11">
        <f t="shared" si="3"/>
        <v>365363.15</v>
      </c>
      <c r="O17" s="62">
        <f t="shared" si="10"/>
        <v>729665.20857840579</v>
      </c>
      <c r="P17" s="80">
        <f t="shared" si="4"/>
        <v>3.1064411826344163</v>
      </c>
      <c r="Q17" s="226">
        <f t="shared" si="5"/>
        <v>2175843.4583773022</v>
      </c>
      <c r="R17" s="223"/>
      <c r="S17" s="122"/>
      <c r="T17" s="122">
        <v>176897</v>
      </c>
      <c r="U17" s="122">
        <v>176897</v>
      </c>
      <c r="V17" s="219">
        <v>0</v>
      </c>
      <c r="W17" s="121">
        <f t="shared" si="11"/>
        <v>241029.70829981603</v>
      </c>
      <c r="X17" s="66">
        <f t="shared" si="7"/>
        <v>6.5793956824547854E-3</v>
      </c>
      <c r="Y17" s="121">
        <f t="shared" si="12"/>
        <v>2090.6068157792615</v>
      </c>
      <c r="Z17" s="121">
        <f>C17*Allocations!$B$11</f>
        <v>235526.63787540147</v>
      </c>
      <c r="AA17" s="228">
        <f t="shared" si="13"/>
        <v>114425.82846123766</v>
      </c>
      <c r="AB17" s="67">
        <f t="shared" si="14"/>
        <v>726252.74496977031</v>
      </c>
      <c r="AC17" s="81"/>
      <c r="AD17" s="82"/>
      <c r="AE17" s="115">
        <v>365363.15</v>
      </c>
      <c r="AF17" s="59">
        <v>365363.15</v>
      </c>
      <c r="AG17" s="72"/>
      <c r="AH17" s="73"/>
      <c r="AI17" s="72"/>
      <c r="AJ17" s="73"/>
      <c r="AK17" s="72"/>
      <c r="AL17" s="73"/>
      <c r="AM17" s="72"/>
      <c r="AN17" s="73"/>
      <c r="AO17" s="72"/>
      <c r="AP17" s="73"/>
      <c r="AQ17" s="200"/>
      <c r="AR17" s="202"/>
      <c r="AS17" s="72"/>
      <c r="AT17" s="73"/>
      <c r="AU17" s="75"/>
      <c r="AV17" s="76"/>
      <c r="AW17" s="72"/>
      <c r="AX17" s="73"/>
      <c r="AY17" s="77"/>
      <c r="AZ17" s="78"/>
      <c r="BA17" s="79"/>
      <c r="BB17" s="220" t="s">
        <v>150</v>
      </c>
    </row>
    <row r="18" spans="1:54" ht="12.75">
      <c r="A18" s="113" t="s">
        <v>15</v>
      </c>
      <c r="B18" s="57">
        <v>14</v>
      </c>
      <c r="C18" s="58">
        <v>6.0620047176118E-3</v>
      </c>
      <c r="D18" s="121">
        <v>209370.32623431852</v>
      </c>
      <c r="E18" s="228">
        <v>199817.47790612638</v>
      </c>
      <c r="F18" s="9">
        <f>C18*Allocations!$B$6</f>
        <v>223498.83953268593</v>
      </c>
      <c r="G18" s="9">
        <f>C18*Allocations!$B$12</f>
        <v>106103.26857235932</v>
      </c>
      <c r="H18" s="11">
        <f t="shared" si="0"/>
        <v>632686.64367313078</v>
      </c>
      <c r="I18" s="15">
        <f t="shared" si="8"/>
        <v>738789.91224549012</v>
      </c>
      <c r="J18" s="59">
        <f t="shared" si="1"/>
        <v>210895.54789104359</v>
      </c>
      <c r="K18" s="60">
        <v>66911.347308326047</v>
      </c>
      <c r="L18" s="61">
        <f t="shared" si="9"/>
        <v>396513.45541337132</v>
      </c>
      <c r="M18" s="11">
        <f t="shared" si="2"/>
        <v>0</v>
      </c>
      <c r="N18" s="11">
        <f t="shared" si="3"/>
        <v>0</v>
      </c>
      <c r="O18" s="62">
        <f t="shared" si="10"/>
        <v>396513.45541337132</v>
      </c>
      <c r="P18" s="80">
        <f t="shared" si="4"/>
        <v>1.8801414225122703</v>
      </c>
      <c r="Q18" s="226">
        <f t="shared" si="5"/>
        <v>1737506.4926094869</v>
      </c>
      <c r="R18" s="223"/>
      <c r="S18" s="122"/>
      <c r="T18" s="122"/>
      <c r="U18" s="122"/>
      <c r="V18" s="65">
        <f t="shared" si="6"/>
        <v>0</v>
      </c>
      <c r="W18" s="121">
        <f t="shared" si="11"/>
        <v>223498.83953268593</v>
      </c>
      <c r="X18" s="66">
        <f t="shared" si="7"/>
        <v>6.1008549951273002E-3</v>
      </c>
      <c r="Y18" s="121">
        <f t="shared" si="12"/>
        <v>1938.5502332541523</v>
      </c>
      <c r="Z18" s="121">
        <f>C18*Allocations!$B$11</f>
        <v>218396.02518503138</v>
      </c>
      <c r="AA18" s="228">
        <f t="shared" si="13"/>
        <v>106103.26857235932</v>
      </c>
      <c r="AB18" s="67">
        <f t="shared" si="14"/>
        <v>393349.19129897095</v>
      </c>
      <c r="AC18" s="81"/>
      <c r="AD18" s="82"/>
      <c r="AE18" s="83"/>
      <c r="AF18" s="84"/>
      <c r="AG18" s="72"/>
      <c r="AH18" s="73"/>
      <c r="AI18" s="72"/>
      <c r="AJ18" s="73"/>
      <c r="AK18" s="72"/>
      <c r="AL18" s="73"/>
      <c r="AM18" s="72"/>
      <c r="AN18" s="73"/>
      <c r="AO18" s="72"/>
      <c r="AP18" s="73"/>
      <c r="AQ18" s="200"/>
      <c r="AR18" s="202"/>
      <c r="AS18" s="72"/>
      <c r="AT18" s="73"/>
      <c r="AU18" s="75"/>
      <c r="AV18" s="76"/>
      <c r="AW18" s="72"/>
      <c r="AX18" s="73"/>
      <c r="AY18" s="118"/>
      <c r="AZ18" s="119"/>
      <c r="BA18" s="79"/>
    </row>
    <row r="19" spans="1:54" ht="12.75">
      <c r="A19" s="91" t="s">
        <v>16</v>
      </c>
      <c r="B19" s="92">
        <v>15</v>
      </c>
      <c r="C19" s="93">
        <v>1.7632573655673219E-2</v>
      </c>
      <c r="D19" s="221">
        <v>564322.84487091471</v>
      </c>
      <c r="E19" s="229">
        <v>586403.32723300904</v>
      </c>
      <c r="F19" s="10">
        <f>C19*Allocations!$B$6</f>
        <v>650091.83159628476</v>
      </c>
      <c r="G19" s="10">
        <f>C19*Allocations!$B$12</f>
        <v>308622.9366952483</v>
      </c>
      <c r="H19" s="12">
        <f t="shared" si="0"/>
        <v>1800818.0037002084</v>
      </c>
      <c r="I19" s="16">
        <f t="shared" si="8"/>
        <v>2109440.9403954567</v>
      </c>
      <c r="J19" s="94">
        <f t="shared" si="1"/>
        <v>600272.6679000695</v>
      </c>
      <c r="K19" s="95">
        <v>307964.73424557765</v>
      </c>
      <c r="L19" s="96">
        <f t="shared" si="9"/>
        <v>1266679.5025371106</v>
      </c>
      <c r="M19" s="12">
        <f t="shared" si="2"/>
        <v>1311891.3199999998</v>
      </c>
      <c r="N19" s="12">
        <f t="shared" si="3"/>
        <v>1093411.3199999998</v>
      </c>
      <c r="O19" s="97">
        <f t="shared" si="10"/>
        <v>173268.18253711076</v>
      </c>
      <c r="P19" s="98">
        <f>O19/J19</f>
        <v>0.28864912864224496</v>
      </c>
      <c r="Q19" s="227">
        <f t="shared" si="5"/>
        <v>4073819.1721148193</v>
      </c>
      <c r="R19" s="224"/>
      <c r="S19" s="222"/>
      <c r="T19" s="222"/>
      <c r="U19" s="222"/>
      <c r="V19" s="99">
        <f t="shared" si="6"/>
        <v>0</v>
      </c>
      <c r="W19" s="221">
        <f t="shared" si="11"/>
        <v>650091.83159628476</v>
      </c>
      <c r="X19" s="100">
        <f t="shared" si="7"/>
        <v>1.774557758947835E-2</v>
      </c>
      <c r="Y19" s="221">
        <f t="shared" si="12"/>
        <v>5638.6676298303191</v>
      </c>
      <c r="Z19" s="221">
        <f>C19*Allocations!$B$11</f>
        <v>635249.25821872859</v>
      </c>
      <c r="AA19" s="229">
        <f t="shared" si="13"/>
        <v>308622.9366952483</v>
      </c>
      <c r="AB19" s="101">
        <f t="shared" si="14"/>
        <v>164064.27678938495</v>
      </c>
      <c r="AC19" s="102"/>
      <c r="AD19" s="103"/>
      <c r="AE19" s="104"/>
      <c r="AF19" s="105"/>
      <c r="AG19" s="106"/>
      <c r="AH19" s="107"/>
      <c r="AI19" s="106"/>
      <c r="AJ19" s="107"/>
      <c r="AK19" s="106"/>
      <c r="AL19" s="107"/>
      <c r="AM19" s="106"/>
      <c r="AN19" s="107"/>
      <c r="AO19" s="106"/>
      <c r="AP19" s="107"/>
      <c r="AQ19" s="203"/>
      <c r="AR19" s="204"/>
      <c r="AS19" s="106">
        <v>664562.31999999995</v>
      </c>
      <c r="AT19" s="107">
        <v>664562.31999999995</v>
      </c>
      <c r="AU19" s="108"/>
      <c r="AV19" s="109"/>
      <c r="AW19" s="106"/>
      <c r="AX19" s="107"/>
      <c r="AY19" s="110">
        <v>647329</v>
      </c>
      <c r="AZ19" s="111">
        <v>428849</v>
      </c>
      <c r="BA19" s="112"/>
    </row>
    <row r="20" spans="1:54" ht="12.75">
      <c r="A20" s="113" t="s">
        <v>17</v>
      </c>
      <c r="B20" s="57">
        <v>16</v>
      </c>
      <c r="C20" s="58">
        <v>1.759362637177855E-2</v>
      </c>
      <c r="D20" s="121">
        <v>758700.78242617042</v>
      </c>
      <c r="E20" s="228">
        <v>660127.7953205246</v>
      </c>
      <c r="F20" s="9">
        <f>C20*Allocations!$B$6</f>
        <v>648655.89197582903</v>
      </c>
      <c r="G20" s="9">
        <f>C20*Allocations!$B$12</f>
        <v>307941.24238523992</v>
      </c>
      <c r="H20" s="11">
        <f t="shared" si="0"/>
        <v>2067484.4697225238</v>
      </c>
      <c r="I20" s="15">
        <f t="shared" si="8"/>
        <v>2375425.7121077636</v>
      </c>
      <c r="J20" s="59">
        <f t="shared" si="1"/>
        <v>689161.4899075079</v>
      </c>
      <c r="K20" s="60">
        <v>-1194529.1967730855</v>
      </c>
      <c r="L20" s="61">
        <f t="shared" si="9"/>
        <v>-237932.06241201656</v>
      </c>
      <c r="M20" s="11">
        <f t="shared" si="2"/>
        <v>487980.01</v>
      </c>
      <c r="N20" s="11">
        <f t="shared" si="3"/>
        <v>487980.01</v>
      </c>
      <c r="O20" s="62">
        <f t="shared" si="10"/>
        <v>-725912.07241201657</v>
      </c>
      <c r="P20" s="80">
        <f t="shared" si="4"/>
        <v>-1.0533265178665758</v>
      </c>
      <c r="Q20" s="226">
        <f t="shared" si="5"/>
        <v>3166023.2794429576</v>
      </c>
      <c r="R20" s="223"/>
      <c r="S20" s="122"/>
      <c r="T20" s="122"/>
      <c r="U20" s="122"/>
      <c r="V20" s="65">
        <f t="shared" si="6"/>
        <v>0</v>
      </c>
      <c r="W20" s="121">
        <f t="shared" si="11"/>
        <v>648655.89197582903</v>
      </c>
      <c r="X20" s="66">
        <f t="shared" si="7"/>
        <v>1.7706380699577376E-2</v>
      </c>
      <c r="Y20" s="121">
        <f t="shared" si="12"/>
        <v>5626.2127952012288</v>
      </c>
      <c r="Z20" s="121">
        <f>C20*Allocations!$B$11</f>
        <v>633846.10325752629</v>
      </c>
      <c r="AA20" s="228">
        <f t="shared" si="13"/>
        <v>307941.24238523992</v>
      </c>
      <c r="AB20" s="67">
        <f t="shared" si="14"/>
        <v>-735095.64833511808</v>
      </c>
      <c r="AC20" s="81"/>
      <c r="AD20" s="82"/>
      <c r="AE20" s="83"/>
      <c r="AF20" s="84"/>
      <c r="AG20" s="72"/>
      <c r="AH20" s="73"/>
      <c r="AI20" s="188">
        <v>487980.01</v>
      </c>
      <c r="AJ20" s="59">
        <v>487980.01</v>
      </c>
      <c r="AK20" s="72"/>
      <c r="AL20" s="73"/>
      <c r="AM20" s="72"/>
      <c r="AN20" s="73"/>
      <c r="AO20" s="72"/>
      <c r="AP20" s="73"/>
      <c r="AQ20" s="200"/>
      <c r="AR20" s="202"/>
      <c r="AS20" s="72"/>
      <c r="AT20" s="73"/>
      <c r="AU20" s="75"/>
      <c r="AV20" s="76"/>
      <c r="AW20" s="72"/>
      <c r="AX20" s="73"/>
      <c r="AY20" s="77"/>
      <c r="AZ20" s="78"/>
      <c r="BA20" s="79"/>
    </row>
    <row r="21" spans="1:54" ht="12.75">
      <c r="A21" s="113" t="s">
        <v>18</v>
      </c>
      <c r="B21" s="57">
        <v>17</v>
      </c>
      <c r="C21" s="58">
        <v>6.2824176296268396E-3</v>
      </c>
      <c r="D21" s="121">
        <v>229127.6128513788</v>
      </c>
      <c r="E21" s="228">
        <v>234005.26498070863</v>
      </c>
      <c r="F21" s="9">
        <f>C21*Allocations!$B$6</f>
        <v>231625.19910318602</v>
      </c>
      <c r="G21" s="9">
        <f>C21*Allocations!$B$12</f>
        <v>109961.15577135855</v>
      </c>
      <c r="H21" s="11">
        <f t="shared" si="0"/>
        <v>694758.07693527348</v>
      </c>
      <c r="I21" s="15">
        <f t="shared" si="8"/>
        <v>804719.232706632</v>
      </c>
      <c r="J21" s="59">
        <f t="shared" si="1"/>
        <v>231586.02564509117</v>
      </c>
      <c r="K21" s="60">
        <v>-291277.39687274152</v>
      </c>
      <c r="L21" s="61">
        <f t="shared" si="9"/>
        <v>50308.958001803025</v>
      </c>
      <c r="M21" s="11">
        <f t="shared" si="2"/>
        <v>152538.85999999999</v>
      </c>
      <c r="N21" s="11">
        <f t="shared" si="3"/>
        <v>152538.85999999999</v>
      </c>
      <c r="O21" s="62">
        <f t="shared" si="10"/>
        <v>-102229.90199819696</v>
      </c>
      <c r="P21" s="80">
        <f t="shared" si="4"/>
        <v>-0.44143381153259098</v>
      </c>
      <c r="Q21" s="226">
        <f t="shared" si="5"/>
        <v>1287521.2926209192</v>
      </c>
      <c r="R21" s="223"/>
      <c r="S21" s="122"/>
      <c r="T21" s="122"/>
      <c r="U21" s="122"/>
      <c r="V21" s="65">
        <f t="shared" si="6"/>
        <v>0</v>
      </c>
      <c r="W21" s="121">
        <f t="shared" si="11"/>
        <v>231625.19910318602</v>
      </c>
      <c r="X21" s="66">
        <f t="shared" si="7"/>
        <v>6.3226804931099667E-3</v>
      </c>
      <c r="Y21" s="121">
        <f t="shared" si="12"/>
        <v>2009.0354146261845</v>
      </c>
      <c r="Z21" s="121">
        <f>C21*Allocations!$B$11</f>
        <v>226336.84775544121</v>
      </c>
      <c r="AA21" s="228">
        <f t="shared" si="13"/>
        <v>109961.15577135855</v>
      </c>
      <c r="AB21" s="67">
        <f t="shared" si="14"/>
        <v>-105509.21793131556</v>
      </c>
      <c r="AC21" s="81"/>
      <c r="AD21" s="82"/>
      <c r="AE21" s="115">
        <v>152538.85999999999</v>
      </c>
      <c r="AF21" s="59">
        <v>152538.85999999999</v>
      </c>
      <c r="AG21" s="120"/>
      <c r="AH21" s="78"/>
      <c r="AI21" s="72"/>
      <c r="AJ21" s="73"/>
      <c r="AK21" s="72"/>
      <c r="AL21" s="73"/>
      <c r="AM21" s="72"/>
      <c r="AN21" s="73"/>
      <c r="AO21" s="72"/>
      <c r="AP21" s="73"/>
      <c r="AQ21" s="200"/>
      <c r="AR21" s="202"/>
      <c r="AS21" s="72"/>
      <c r="AT21" s="73"/>
      <c r="AU21" s="75"/>
      <c r="AV21" s="76"/>
      <c r="AW21" s="72"/>
      <c r="AX21" s="73"/>
      <c r="AY21" s="77"/>
      <c r="AZ21" s="78"/>
      <c r="BA21" s="79"/>
    </row>
    <row r="22" spans="1:54" ht="12.75">
      <c r="A22" s="113" t="s">
        <v>19</v>
      </c>
      <c r="B22" s="57">
        <v>18</v>
      </c>
      <c r="C22" s="58">
        <v>1.0917215079273566E-2</v>
      </c>
      <c r="D22" s="121">
        <v>373503.24924882664</v>
      </c>
      <c r="E22" s="228">
        <v>402439.7127465693</v>
      </c>
      <c r="F22" s="9">
        <f>C22*Allocations!$B$6</f>
        <v>402504.61931472126</v>
      </c>
      <c r="G22" s="9">
        <f>C22*Allocations!$B$12</f>
        <v>191084.0155325252</v>
      </c>
      <c r="H22" s="11">
        <f t="shared" si="0"/>
        <v>1178447.5813101172</v>
      </c>
      <c r="I22" s="15">
        <f t="shared" si="8"/>
        <v>1369531.5968426424</v>
      </c>
      <c r="J22" s="59">
        <f t="shared" si="1"/>
        <v>392815.8604367057</v>
      </c>
      <c r="K22" s="60">
        <v>281851.05046522134</v>
      </c>
      <c r="L22" s="61">
        <f t="shared" si="9"/>
        <v>875439.68531246786</v>
      </c>
      <c r="M22" s="11">
        <f t="shared" si="2"/>
        <v>0</v>
      </c>
      <c r="N22" s="11">
        <f t="shared" si="3"/>
        <v>0</v>
      </c>
      <c r="O22" s="62">
        <f t="shared" si="10"/>
        <v>875439.68531246786</v>
      </c>
      <c r="P22" s="80">
        <f t="shared" si="4"/>
        <v>2.2286261159088996</v>
      </c>
      <c r="Q22" s="226">
        <f t="shared" si="5"/>
        <v>3290467.4012007955</v>
      </c>
      <c r="R22" s="223"/>
      <c r="S22" s="122"/>
      <c r="T22" s="122"/>
      <c r="U22" s="122"/>
      <c r="V22" s="65">
        <f t="shared" si="6"/>
        <v>0</v>
      </c>
      <c r="W22" s="121">
        <f t="shared" si="11"/>
        <v>402504.61931472126</v>
      </c>
      <c r="X22" s="66">
        <f t="shared" si="7"/>
        <v>1.0987181510393943E-2</v>
      </c>
      <c r="Y22" s="121">
        <f t="shared" si="12"/>
        <v>3491.1833336133013</v>
      </c>
      <c r="Z22" s="121">
        <f>C22*Allocations!$B$11</f>
        <v>393314.83403113362</v>
      </c>
      <c r="AA22" s="228">
        <f t="shared" si="13"/>
        <v>191084.0155325252</v>
      </c>
      <c r="AB22" s="67">
        <f t="shared" si="14"/>
        <v>869741.08336249343</v>
      </c>
      <c r="AC22" s="81"/>
      <c r="AD22" s="82"/>
      <c r="AE22" s="83"/>
      <c r="AF22" s="84"/>
      <c r="AG22" s="72"/>
      <c r="AH22" s="73"/>
      <c r="AI22" s="75"/>
      <c r="AJ22" s="76"/>
      <c r="AK22" s="72"/>
      <c r="AL22" s="73"/>
      <c r="AM22" s="72"/>
      <c r="AN22" s="73"/>
      <c r="AO22" s="72"/>
      <c r="AP22" s="73"/>
      <c r="AQ22" s="200"/>
      <c r="AR22" s="202"/>
      <c r="AS22" s="72"/>
      <c r="AT22" s="73"/>
      <c r="AU22" s="75"/>
      <c r="AV22" s="76"/>
      <c r="AW22" s="72"/>
      <c r="AX22" s="73"/>
      <c r="AY22" s="77"/>
      <c r="AZ22" s="78"/>
      <c r="BA22" s="79"/>
    </row>
    <row r="23" spans="1:54" ht="12.75">
      <c r="A23" s="113" t="s">
        <v>20</v>
      </c>
      <c r="B23" s="57">
        <v>19</v>
      </c>
      <c r="C23" s="58">
        <v>1.4040270023961354E-2</v>
      </c>
      <c r="D23" s="121">
        <v>464698.64587774989</v>
      </c>
      <c r="E23" s="228">
        <v>482732.66106366791</v>
      </c>
      <c r="F23" s="9">
        <f>C23*Allocations!$B$6</f>
        <v>517647.90745942638</v>
      </c>
      <c r="G23" s="9">
        <f>C23*Allocations!$B$12</f>
        <v>245746.84622939554</v>
      </c>
      <c r="H23" s="11">
        <f t="shared" si="0"/>
        <v>1465079.2144008442</v>
      </c>
      <c r="I23" s="15">
        <f t="shared" si="8"/>
        <v>1710826.0606302398</v>
      </c>
      <c r="J23" s="59">
        <f t="shared" si="1"/>
        <v>488359.73813361471</v>
      </c>
      <c r="K23" s="60">
        <v>-343165.42726233654</v>
      </c>
      <c r="L23" s="61">
        <f t="shared" si="9"/>
        <v>420229.32642648538</v>
      </c>
      <c r="M23" s="11">
        <f t="shared" si="2"/>
        <v>1087608.3999999999</v>
      </c>
      <c r="N23" s="11">
        <f t="shared" si="3"/>
        <v>321780</v>
      </c>
      <c r="O23" s="62">
        <f t="shared" si="10"/>
        <v>98449.326426485379</v>
      </c>
      <c r="P23" s="80">
        <f t="shared" si="4"/>
        <v>0.20159181590753852</v>
      </c>
      <c r="Q23" s="226">
        <f t="shared" si="5"/>
        <v>3204336.7711830437</v>
      </c>
      <c r="R23" s="223"/>
      <c r="S23" s="122"/>
      <c r="T23" s="122"/>
      <c r="U23" s="122"/>
      <c r="V23" s="65">
        <f t="shared" si="6"/>
        <v>0</v>
      </c>
      <c r="W23" s="121">
        <f t="shared" si="11"/>
        <v>517647.90745942638</v>
      </c>
      <c r="X23" s="66">
        <f t="shared" si="7"/>
        <v>1.4130251541995929E-2</v>
      </c>
      <c r="Y23" s="121">
        <f t="shared" si="12"/>
        <v>4489.8956694682911</v>
      </c>
      <c r="Z23" s="121">
        <f>C23*Allocations!$B$11</f>
        <v>505829.22788712813</v>
      </c>
      <c r="AA23" s="228">
        <f t="shared" si="13"/>
        <v>245746.84622939554</v>
      </c>
      <c r="AB23" s="67">
        <f t="shared" si="14"/>
        <v>91120.542523655517</v>
      </c>
      <c r="AC23" s="81"/>
      <c r="AD23" s="82"/>
      <c r="AE23" s="83"/>
      <c r="AF23" s="84"/>
      <c r="AG23" s="192">
        <f>321780+765828.4</f>
        <v>1087608.3999999999</v>
      </c>
      <c r="AH23" s="190">
        <f>321780+0</f>
        <v>321780</v>
      </c>
      <c r="AI23" s="72"/>
      <c r="AJ23" s="73"/>
      <c r="AK23" s="72"/>
      <c r="AL23" s="73"/>
      <c r="AM23" s="72"/>
      <c r="AN23" s="73"/>
      <c r="AO23" s="72"/>
      <c r="AP23" s="73"/>
      <c r="AQ23" s="200"/>
      <c r="AR23" s="202"/>
      <c r="AS23" s="72"/>
      <c r="AT23" s="73"/>
      <c r="AU23" s="75"/>
      <c r="AV23" s="76"/>
      <c r="AW23" s="72"/>
      <c r="AX23" s="73"/>
      <c r="AY23" s="77"/>
      <c r="AZ23" s="78"/>
      <c r="BA23" s="79"/>
      <c r="BB23" s="189" t="s">
        <v>142</v>
      </c>
    </row>
    <row r="24" spans="1:54" ht="12.75">
      <c r="A24" s="91" t="s">
        <v>21</v>
      </c>
      <c r="B24" s="92">
        <v>20</v>
      </c>
      <c r="C24" s="93">
        <v>6.3938306272537096E-3</v>
      </c>
      <c r="D24" s="221">
        <v>194747.67939186169</v>
      </c>
      <c r="E24" s="229">
        <v>226636.80148663075</v>
      </c>
      <c r="F24" s="10">
        <f>C24*Allocations!$B$6</f>
        <v>235732.86263009158</v>
      </c>
      <c r="G24" s="10">
        <f>C24*Allocations!$B$12</f>
        <v>111911.21746882166</v>
      </c>
      <c r="H24" s="12">
        <f t="shared" si="0"/>
        <v>657117.34350858408</v>
      </c>
      <c r="I24" s="16">
        <f t="shared" si="8"/>
        <v>769028.56097740575</v>
      </c>
      <c r="J24" s="94">
        <f t="shared" si="1"/>
        <v>219039.11450286137</v>
      </c>
      <c r="K24" s="95">
        <v>-290966.86298924597</v>
      </c>
      <c r="L24" s="96">
        <f t="shared" si="9"/>
        <v>56677.217109667254</v>
      </c>
      <c r="M24" s="12">
        <f t="shared" si="2"/>
        <v>690989.87</v>
      </c>
      <c r="N24" s="12">
        <f t="shared" si="3"/>
        <v>552791.9</v>
      </c>
      <c r="O24" s="97">
        <f t="shared" si="10"/>
        <v>-496114.68289033277</v>
      </c>
      <c r="P24" s="98">
        <f t="shared" si="4"/>
        <v>-2.2649593156744245</v>
      </c>
      <c r="Q24" s="227">
        <f t="shared" si="5"/>
        <v>918282.49289021664</v>
      </c>
      <c r="R24" s="224"/>
      <c r="S24" s="222"/>
      <c r="T24" s="222"/>
      <c r="U24" s="222"/>
      <c r="V24" s="99">
        <f t="shared" si="6"/>
        <v>0</v>
      </c>
      <c r="W24" s="221">
        <f t="shared" si="11"/>
        <v>235732.86263009158</v>
      </c>
      <c r="X24" s="100">
        <f t="shared" si="7"/>
        <v>6.434807516224818E-3</v>
      </c>
      <c r="Y24" s="221">
        <f t="shared" si="12"/>
        <v>2044.6638416232195</v>
      </c>
      <c r="Z24" s="221">
        <f>C24*Allocations!$B$11</f>
        <v>230350.72715163601</v>
      </c>
      <c r="AA24" s="229">
        <f t="shared" si="13"/>
        <v>111911.21746882166</v>
      </c>
      <c r="AB24" s="101">
        <f t="shared" si="14"/>
        <v>-499452.15452716511</v>
      </c>
      <c r="AC24" s="116">
        <v>249397</v>
      </c>
      <c r="AD24" s="117">
        <v>199517.6</v>
      </c>
      <c r="AE24" s="104"/>
      <c r="AF24" s="105"/>
      <c r="AG24" s="106"/>
      <c r="AH24" s="107"/>
      <c r="AI24" s="187">
        <v>441592.87</v>
      </c>
      <c r="AJ24" s="94">
        <v>353274.3</v>
      </c>
      <c r="AK24" s="106"/>
      <c r="AL24" s="107"/>
      <c r="AM24" s="106"/>
      <c r="AN24" s="107"/>
      <c r="AO24" s="106"/>
      <c r="AP24" s="107"/>
      <c r="AQ24" s="203"/>
      <c r="AR24" s="204"/>
      <c r="AS24" s="106"/>
      <c r="AT24" s="107"/>
      <c r="AU24" s="108"/>
      <c r="AV24" s="109"/>
      <c r="AW24" s="106"/>
      <c r="AX24" s="107"/>
      <c r="AY24" s="110"/>
      <c r="AZ24" s="111"/>
      <c r="BA24" s="112"/>
    </row>
    <row r="25" spans="1:54" ht="12.75">
      <c r="A25" s="113" t="s">
        <v>22</v>
      </c>
      <c r="B25" s="57">
        <v>21</v>
      </c>
      <c r="C25" s="58">
        <v>8.2895282967441544E-3</v>
      </c>
      <c r="D25" s="121">
        <v>328872.98368422117</v>
      </c>
      <c r="E25" s="228">
        <v>286276.39429461275</v>
      </c>
      <c r="F25" s="9">
        <f>C25*Allocations!$B$6</f>
        <v>305624.96086700086</v>
      </c>
      <c r="G25" s="9">
        <f>C25*Allocations!$B$12</f>
        <v>145091.61377791289</v>
      </c>
      <c r="H25" s="11">
        <f t="shared" si="0"/>
        <v>920774.33884583472</v>
      </c>
      <c r="I25" s="15">
        <f t="shared" si="8"/>
        <v>1065865.9526237475</v>
      </c>
      <c r="J25" s="59">
        <f t="shared" si="1"/>
        <v>306924.77961527824</v>
      </c>
      <c r="K25" s="60">
        <v>121964.08208455826</v>
      </c>
      <c r="L25" s="61">
        <f t="shared" si="9"/>
        <v>572680.6567294721</v>
      </c>
      <c r="M25" s="11">
        <f t="shared" si="2"/>
        <v>2218553.4500000002</v>
      </c>
      <c r="N25" s="11">
        <f t="shared" si="3"/>
        <v>1040762.54</v>
      </c>
      <c r="O25" s="62">
        <f t="shared" si="10"/>
        <v>-468081.88327052793</v>
      </c>
      <c r="P25" s="80">
        <f t="shared" si="4"/>
        <v>-1.5250703571645654</v>
      </c>
      <c r="Q25" s="226">
        <f t="shared" si="5"/>
        <v>1365667.8819314772</v>
      </c>
      <c r="R25" s="223"/>
      <c r="S25" s="122"/>
      <c r="T25" s="122"/>
      <c r="U25" s="122"/>
      <c r="V25" s="65">
        <f t="shared" si="6"/>
        <v>0</v>
      </c>
      <c r="W25" s="121">
        <f t="shared" si="11"/>
        <v>305624.96086700086</v>
      </c>
      <c r="X25" s="66">
        <f t="shared" si="7"/>
        <v>8.342654364737051E-3</v>
      </c>
      <c r="Y25" s="121">
        <f t="shared" si="12"/>
        <v>2650.8832905611985</v>
      </c>
      <c r="Z25" s="121">
        <f>C25*Allocations!$B$11</f>
        <v>298647.08376225008</v>
      </c>
      <c r="AA25" s="228">
        <f t="shared" si="13"/>
        <v>145091.61377791289</v>
      </c>
      <c r="AB25" s="67">
        <f t="shared" si="14"/>
        <v>-472408.87708471762</v>
      </c>
      <c r="AC25" s="81"/>
      <c r="AD25" s="82"/>
      <c r="AE25" s="83"/>
      <c r="AF25" s="84"/>
      <c r="AG25" s="72"/>
      <c r="AH25" s="73"/>
      <c r="AI25" s="72"/>
      <c r="AJ25" s="73"/>
      <c r="AK25" s="72"/>
      <c r="AL25" s="73"/>
      <c r="AM25" s="72"/>
      <c r="AN25" s="73"/>
      <c r="AO25" s="72"/>
      <c r="AP25" s="73"/>
      <c r="AQ25" s="200"/>
      <c r="AR25" s="202"/>
      <c r="AS25" s="72"/>
      <c r="AT25" s="73"/>
      <c r="AU25" s="75"/>
      <c r="AV25" s="76"/>
      <c r="AW25" s="72"/>
      <c r="AX25" s="73"/>
      <c r="AY25" s="77">
        <v>2218553.4500000002</v>
      </c>
      <c r="AZ25" s="78">
        <v>1040762.54</v>
      </c>
      <c r="BA25" s="79"/>
    </row>
    <row r="26" spans="1:54" ht="12.75">
      <c r="A26" s="113" t="s">
        <v>23</v>
      </c>
      <c r="B26" s="57">
        <v>22</v>
      </c>
      <c r="C26" s="58">
        <v>1.0214281244712544E-2</v>
      </c>
      <c r="D26" s="121">
        <v>436910.51493051206</v>
      </c>
      <c r="E26" s="228">
        <v>370552.82623334171</v>
      </c>
      <c r="F26" s="9">
        <f>C26*Allocations!$B$6</f>
        <v>376588.29235505784</v>
      </c>
      <c r="G26" s="9">
        <f>C26*Allocations!$B$12</f>
        <v>178780.56462620362</v>
      </c>
      <c r="H26" s="11">
        <f t="shared" si="0"/>
        <v>1184051.6335189117</v>
      </c>
      <c r="I26" s="15">
        <f t="shared" si="8"/>
        <v>1362832.1981451153</v>
      </c>
      <c r="J26" s="59">
        <f t="shared" si="1"/>
        <v>394683.87783963722</v>
      </c>
      <c r="K26" s="60">
        <v>485643.35820155381</v>
      </c>
      <c r="L26" s="61">
        <f t="shared" si="9"/>
        <v>1041012.2151828152</v>
      </c>
      <c r="M26" s="11">
        <f t="shared" si="2"/>
        <v>549626.94999999995</v>
      </c>
      <c r="N26" s="11">
        <f t="shared" si="3"/>
        <v>549626.94999999995</v>
      </c>
      <c r="O26" s="62">
        <f t="shared" si="10"/>
        <v>491385.26518281526</v>
      </c>
      <c r="P26" s="80">
        <f t="shared" si="4"/>
        <v>1.2450097223947629</v>
      </c>
      <c r="Q26" s="226">
        <f t="shared" si="5"/>
        <v>2750915.0193131622</v>
      </c>
      <c r="R26" s="223"/>
      <c r="S26" s="122"/>
      <c r="T26" s="122"/>
      <c r="U26" s="122"/>
      <c r="V26" s="65">
        <f t="shared" si="6"/>
        <v>0</v>
      </c>
      <c r="W26" s="121">
        <f t="shared" si="11"/>
        <v>376588.29235505784</v>
      </c>
      <c r="X26" s="66">
        <f t="shared" si="7"/>
        <v>1.0279742701683298E-2</v>
      </c>
      <c r="Y26" s="121">
        <f t="shared" si="12"/>
        <v>3266.3942395052804</v>
      </c>
      <c r="Z26" s="121">
        <f>C26*Allocations!$B$11</f>
        <v>367990.21575919667</v>
      </c>
      <c r="AA26" s="228">
        <f t="shared" si="13"/>
        <v>178780.56462620362</v>
      </c>
      <c r="AB26" s="67">
        <f t="shared" si="14"/>
        <v>486053.58282645943</v>
      </c>
      <c r="AC26" s="81"/>
      <c r="AD26" s="82"/>
      <c r="AE26" s="83"/>
      <c r="AF26" s="84"/>
      <c r="AG26" s="72">
        <v>255991.95</v>
      </c>
      <c r="AH26" s="73">
        <v>255991.95</v>
      </c>
      <c r="AI26" s="188">
        <v>293635</v>
      </c>
      <c r="AJ26" s="59">
        <v>293635</v>
      </c>
      <c r="AK26" s="72"/>
      <c r="AL26" s="73"/>
      <c r="AM26" s="72"/>
      <c r="AN26" s="73"/>
      <c r="AO26" s="72"/>
      <c r="AP26" s="73"/>
      <c r="AQ26" s="200"/>
      <c r="AR26" s="202"/>
      <c r="AS26" s="72"/>
      <c r="AT26" s="73"/>
      <c r="AU26" s="75"/>
      <c r="AV26" s="76"/>
      <c r="AW26" s="72"/>
      <c r="AX26" s="73"/>
      <c r="AY26" s="77"/>
      <c r="AZ26" s="78"/>
      <c r="BA26" s="79"/>
    </row>
    <row r="27" spans="1:54" ht="12.75">
      <c r="A27" s="113" t="s">
        <v>24</v>
      </c>
      <c r="B27" s="57">
        <v>23</v>
      </c>
      <c r="C27" s="58">
        <v>6.8266092562040259E-3</v>
      </c>
      <c r="D27" s="121">
        <v>239876.54640508955</v>
      </c>
      <c r="E27" s="228">
        <v>249447.09702968781</v>
      </c>
      <c r="F27" s="9">
        <f>C27*Allocations!$B$6</f>
        <v>251688.89134513499</v>
      </c>
      <c r="G27" s="9">
        <f>C27*Allocations!$B$12</f>
        <v>119486.14181133904</v>
      </c>
      <c r="H27" s="11">
        <f t="shared" si="0"/>
        <v>741012.53477991233</v>
      </c>
      <c r="I27" s="15">
        <f t="shared" si="8"/>
        <v>860498.67659125139</v>
      </c>
      <c r="J27" s="59">
        <f t="shared" si="1"/>
        <v>247004.17825997077</v>
      </c>
      <c r="K27" s="60">
        <v>47046.096185970469</v>
      </c>
      <c r="L27" s="61">
        <f t="shared" si="9"/>
        <v>418221.12934244447</v>
      </c>
      <c r="M27" s="11">
        <f t="shared" si="2"/>
        <v>0</v>
      </c>
      <c r="N27" s="11">
        <f t="shared" si="3"/>
        <v>0</v>
      </c>
      <c r="O27" s="62">
        <f t="shared" si="10"/>
        <v>418221.12934244447</v>
      </c>
      <c r="P27" s="80">
        <f t="shared" si="4"/>
        <v>1.6931743110121347</v>
      </c>
      <c r="Q27" s="226">
        <f t="shared" si="5"/>
        <v>1928354.4774132546</v>
      </c>
      <c r="R27" s="223"/>
      <c r="S27" s="122"/>
      <c r="T27" s="122"/>
      <c r="U27" s="122"/>
      <c r="V27" s="65">
        <f t="shared" si="6"/>
        <v>0</v>
      </c>
      <c r="W27" s="121">
        <f t="shared" si="11"/>
        <v>251688.89134513499</v>
      </c>
      <c r="X27" s="66">
        <f t="shared" si="7"/>
        <v>6.87035974411158E-3</v>
      </c>
      <c r="Y27" s="121">
        <f t="shared" si="12"/>
        <v>2183.0608160864081</v>
      </c>
      <c r="Z27" s="121">
        <f>C27*Allocations!$B$11</f>
        <v>245942.45575474619</v>
      </c>
      <c r="AA27" s="228">
        <f t="shared" si="13"/>
        <v>119486.14181133904</v>
      </c>
      <c r="AB27" s="67">
        <f t="shared" si="14"/>
        <v>414657.75456814212</v>
      </c>
      <c r="AC27" s="81"/>
      <c r="AD27" s="82"/>
      <c r="AE27" s="83"/>
      <c r="AF27" s="84"/>
      <c r="AG27" s="72"/>
      <c r="AH27" s="73"/>
      <c r="AI27" s="72"/>
      <c r="AJ27" s="73"/>
      <c r="AK27" s="72"/>
      <c r="AL27" s="73"/>
      <c r="AM27" s="72"/>
      <c r="AN27" s="73"/>
      <c r="AO27" s="72"/>
      <c r="AP27" s="73"/>
      <c r="AQ27" s="200"/>
      <c r="AR27" s="202"/>
      <c r="AS27" s="72"/>
      <c r="AT27" s="73"/>
      <c r="AU27" s="75"/>
      <c r="AV27" s="76"/>
      <c r="AW27" s="72"/>
      <c r="AX27" s="73"/>
      <c r="AY27" s="77"/>
      <c r="AZ27" s="78"/>
      <c r="BA27" s="79"/>
    </row>
    <row r="28" spans="1:54" ht="12.75">
      <c r="A28" s="113" t="s">
        <v>25</v>
      </c>
      <c r="B28" s="57">
        <v>24</v>
      </c>
      <c r="C28" s="58">
        <v>1.1552739474364996E-2</v>
      </c>
      <c r="D28" s="121">
        <v>488859.31881009019</v>
      </c>
      <c r="E28" s="228">
        <v>441727.92672802054</v>
      </c>
      <c r="F28" s="9">
        <f>C28*Allocations!$B$6</f>
        <v>425935.64113246818</v>
      </c>
      <c r="G28" s="9">
        <f>C28*Allocations!$B$12</f>
        <v>202207.5990198105</v>
      </c>
      <c r="H28" s="11">
        <f t="shared" si="0"/>
        <v>1356522.886670579</v>
      </c>
      <c r="I28" s="15">
        <f t="shared" si="8"/>
        <v>1558730.4856903895</v>
      </c>
      <c r="J28" s="59">
        <f t="shared" si="1"/>
        <v>452174.29555685964</v>
      </c>
      <c r="K28" s="60">
        <v>-1808217.4721658137</v>
      </c>
      <c r="L28" s="61">
        <f t="shared" si="9"/>
        <v>-1180074.232013535</v>
      </c>
      <c r="M28" s="11">
        <f t="shared" si="2"/>
        <v>493525.27</v>
      </c>
      <c r="N28" s="11">
        <f t="shared" si="3"/>
        <v>493525.27</v>
      </c>
      <c r="O28" s="62">
        <f t="shared" si="10"/>
        <v>-1673599.502013535</v>
      </c>
      <c r="P28" s="80">
        <f t="shared" si="4"/>
        <v>-3.7012265368876647</v>
      </c>
      <c r="Q28" s="226">
        <f t="shared" si="5"/>
        <v>882014.34478127421</v>
      </c>
      <c r="R28" s="223"/>
      <c r="S28" s="122"/>
      <c r="T28" s="122"/>
      <c r="U28" s="122"/>
      <c r="V28" s="65">
        <f t="shared" si="6"/>
        <v>0</v>
      </c>
      <c r="W28" s="121">
        <f t="shared" si="11"/>
        <v>425935.64113246818</v>
      </c>
      <c r="X28" s="66">
        <f t="shared" si="7"/>
        <v>1.1626778864888629E-2</v>
      </c>
      <c r="Y28" s="121">
        <f t="shared" si="12"/>
        <v>3694.4157660731289</v>
      </c>
      <c r="Z28" s="121">
        <f>C28*Allocations!$B$11</f>
        <v>416210.89041209436</v>
      </c>
      <c r="AA28" s="228">
        <f t="shared" si="13"/>
        <v>202207.5990198105</v>
      </c>
      <c r="AB28" s="67">
        <f t="shared" si="14"/>
        <v>-1679629.8369678359</v>
      </c>
      <c r="AC28" s="87"/>
      <c r="AD28" s="88"/>
      <c r="AE28" s="83"/>
      <c r="AF28" s="84"/>
      <c r="AG28" s="72">
        <v>493525.27</v>
      </c>
      <c r="AH28" s="73">
        <v>493525.27</v>
      </c>
      <c r="AI28" s="72"/>
      <c r="AJ28" s="73"/>
      <c r="AK28" s="72"/>
      <c r="AL28" s="73"/>
      <c r="AM28" s="72"/>
      <c r="AN28" s="73"/>
      <c r="AO28" s="72"/>
      <c r="AP28" s="73"/>
      <c r="AQ28" s="200"/>
      <c r="AR28" s="202"/>
      <c r="AS28" s="72"/>
      <c r="AT28" s="73"/>
      <c r="AU28" s="75"/>
      <c r="AV28" s="76"/>
      <c r="AW28" s="72"/>
      <c r="AX28" s="73"/>
      <c r="AY28" s="77"/>
      <c r="AZ28" s="78"/>
      <c r="BA28" s="79"/>
    </row>
    <row r="29" spans="1:54" ht="12.75">
      <c r="A29" s="91" t="s">
        <v>26</v>
      </c>
      <c r="B29" s="92">
        <v>25</v>
      </c>
      <c r="C29" s="93">
        <v>6.3381331223724378E-3</v>
      </c>
      <c r="D29" s="221">
        <v>350745.11876258045</v>
      </c>
      <c r="E29" s="229">
        <v>246082.97657133744</v>
      </c>
      <c r="F29" s="10">
        <f>C29*Allocations!$B$6</f>
        <v>233679.36246212493</v>
      </c>
      <c r="G29" s="10">
        <f>C29*Allocations!$B$12</f>
        <v>110936.34404088475</v>
      </c>
      <c r="H29" s="12">
        <f t="shared" si="0"/>
        <v>830507.45779604279</v>
      </c>
      <c r="I29" s="16">
        <f t="shared" si="8"/>
        <v>941443.80183692754</v>
      </c>
      <c r="J29" s="94">
        <f t="shared" si="1"/>
        <v>276835.81926534761</v>
      </c>
      <c r="K29" s="95">
        <v>223210.9051367105</v>
      </c>
      <c r="L29" s="96">
        <f t="shared" si="9"/>
        <v>567826.61163972015</v>
      </c>
      <c r="M29" s="12">
        <f t="shared" si="2"/>
        <v>0</v>
      </c>
      <c r="N29" s="12">
        <f t="shared" si="3"/>
        <v>0</v>
      </c>
      <c r="O29" s="97">
        <f t="shared" si="10"/>
        <v>567826.61163972015</v>
      </c>
      <c r="P29" s="98">
        <f t="shared" si="4"/>
        <v>2.0511312919931699</v>
      </c>
      <c r="Q29" s="227">
        <f t="shared" si="5"/>
        <v>1969902.7864124698</v>
      </c>
      <c r="R29" s="224"/>
      <c r="S29" s="222"/>
      <c r="T29" s="222"/>
      <c r="U29" s="222"/>
      <c r="V29" s="99">
        <f t="shared" si="6"/>
        <v>0</v>
      </c>
      <c r="W29" s="221">
        <f t="shared" si="11"/>
        <v>233679.36246212493</v>
      </c>
      <c r="X29" s="100">
        <f t="shared" si="7"/>
        <v>6.3787530562400187E-3</v>
      </c>
      <c r="Y29" s="221">
        <f t="shared" si="12"/>
        <v>2026.8525042671838</v>
      </c>
      <c r="Z29" s="221">
        <f>C29*Allocations!$B$11</f>
        <v>228344.11147820152</v>
      </c>
      <c r="AA29" s="229">
        <f t="shared" si="13"/>
        <v>110936.34404088475</v>
      </c>
      <c r="AB29" s="101">
        <f t="shared" si="14"/>
        <v>564518.21316006396</v>
      </c>
      <c r="AC29" s="102"/>
      <c r="AD29" s="103"/>
      <c r="AE29" s="104"/>
      <c r="AF29" s="105"/>
      <c r="AG29" s="106"/>
      <c r="AH29" s="107"/>
      <c r="AI29" s="106"/>
      <c r="AJ29" s="107"/>
      <c r="AK29" s="106"/>
      <c r="AL29" s="107"/>
      <c r="AM29" s="106"/>
      <c r="AN29" s="107"/>
      <c r="AO29" s="106"/>
      <c r="AP29" s="107"/>
      <c r="AQ29" s="203"/>
      <c r="AR29" s="204"/>
      <c r="AS29" s="106"/>
      <c r="AT29" s="107"/>
      <c r="AU29" s="108"/>
      <c r="AV29" s="109"/>
      <c r="AW29" s="106"/>
      <c r="AX29" s="107"/>
      <c r="AY29" s="110"/>
      <c r="AZ29" s="111"/>
      <c r="BA29" s="112"/>
    </row>
    <row r="30" spans="1:54" ht="12.75">
      <c r="A30" s="113" t="s">
        <v>27</v>
      </c>
      <c r="B30" s="57">
        <v>26</v>
      </c>
      <c r="C30" s="58">
        <v>1.3027315280028375E-2</v>
      </c>
      <c r="D30" s="121">
        <v>522446.71012153785</v>
      </c>
      <c r="E30" s="228">
        <v>510341.71385036857</v>
      </c>
      <c r="F30" s="9">
        <f>C30*Allocations!$B$6</f>
        <v>480301.48159631016</v>
      </c>
      <c r="G30" s="9">
        <f>C30*Allocations!$B$12</f>
        <v>228017.09934633659</v>
      </c>
      <c r="H30" s="11">
        <f t="shared" si="0"/>
        <v>1513089.9055682165</v>
      </c>
      <c r="I30" s="15">
        <f t="shared" si="8"/>
        <v>1741107.0049145531</v>
      </c>
      <c r="J30" s="59">
        <f t="shared" si="1"/>
        <v>504363.30185607215</v>
      </c>
      <c r="K30" s="60">
        <v>-698362.18042667513</v>
      </c>
      <c r="L30" s="61">
        <f t="shared" si="9"/>
        <v>9956.4005159715889</v>
      </c>
      <c r="M30" s="11">
        <f t="shared" si="2"/>
        <v>1461141.3800000001</v>
      </c>
      <c r="N30" s="11">
        <f t="shared" si="3"/>
        <v>1461141.3800000001</v>
      </c>
      <c r="O30" s="62">
        <f t="shared" si="10"/>
        <v>-1451184.9794840286</v>
      </c>
      <c r="P30" s="80">
        <f t="shared" si="4"/>
        <v>-2.8772612403472344</v>
      </c>
      <c r="Q30" s="226">
        <f t="shared" si="5"/>
        <v>1430623.9100938323</v>
      </c>
      <c r="R30" s="223"/>
      <c r="S30" s="122"/>
      <c r="T30" s="122"/>
      <c r="U30" s="122"/>
      <c r="V30" s="65">
        <f t="shared" si="6"/>
        <v>0</v>
      </c>
      <c r="W30" s="121">
        <f t="shared" si="11"/>
        <v>480301.48159631016</v>
      </c>
      <c r="X30" s="66">
        <f t="shared" si="7"/>
        <v>1.3110804956709196E-2</v>
      </c>
      <c r="Y30" s="121">
        <f t="shared" si="12"/>
        <v>4165.9659223629824</v>
      </c>
      <c r="Z30" s="121">
        <f>C30*Allocations!$B$11</f>
        <v>469335.47704517259</v>
      </c>
      <c r="AA30" s="228">
        <f t="shared" si="13"/>
        <v>228017.09934633659</v>
      </c>
      <c r="AB30" s="67">
        <f t="shared" si="14"/>
        <v>-1457985.0181128029</v>
      </c>
      <c r="AC30" s="81"/>
      <c r="AD30" s="82"/>
      <c r="AE30" s="83"/>
      <c r="AF30" s="84"/>
      <c r="AG30" s="72">
        <f>687124.43+229395.45</f>
        <v>916519.88000000012</v>
      </c>
      <c r="AH30" s="73">
        <f>687124.43+229395.45</f>
        <v>916519.88000000012</v>
      </c>
      <c r="AI30" s="72"/>
      <c r="AJ30" s="73"/>
      <c r="AK30" s="72"/>
      <c r="AL30" s="73"/>
      <c r="AM30" s="72"/>
      <c r="AN30" s="73"/>
      <c r="AO30" s="72"/>
      <c r="AP30" s="73"/>
      <c r="AQ30" s="200"/>
      <c r="AR30" s="202"/>
      <c r="AS30" s="72"/>
      <c r="AT30" s="73"/>
      <c r="AU30" s="75"/>
      <c r="AV30" s="76"/>
      <c r="AW30" s="72">
        <v>544621.5</v>
      </c>
      <c r="AX30" s="73">
        <v>544621.5</v>
      </c>
      <c r="AY30" s="77"/>
      <c r="AZ30" s="78"/>
      <c r="BA30" s="79"/>
    </row>
    <row r="31" spans="1:54" ht="12.75">
      <c r="A31" s="113" t="s">
        <v>28</v>
      </c>
      <c r="B31" s="57">
        <v>27</v>
      </c>
      <c r="C31" s="58">
        <v>1.4784488537238745E-2</v>
      </c>
      <c r="D31" s="121">
        <v>527306.47707598237</v>
      </c>
      <c r="E31" s="228">
        <v>539199.20434453106</v>
      </c>
      <c r="F31" s="9">
        <f>C31*Allocations!$B$6</f>
        <v>545086.35098174785</v>
      </c>
      <c r="G31" s="9">
        <f>C31*Allocations!$B$12</f>
        <v>258772.9028672897</v>
      </c>
      <c r="H31" s="11">
        <f t="shared" si="0"/>
        <v>1611592.0324022612</v>
      </c>
      <c r="I31" s="15">
        <f t="shared" si="8"/>
        <v>1870364.9352695509</v>
      </c>
      <c r="J31" s="59">
        <f t="shared" si="1"/>
        <v>537197.34413408709</v>
      </c>
      <c r="K31" s="60">
        <v>589234.82387917361</v>
      </c>
      <c r="L31" s="61">
        <f t="shared" si="9"/>
        <v>1393094.0777282112</v>
      </c>
      <c r="M31" s="11">
        <f t="shared" si="2"/>
        <v>1759745.5</v>
      </c>
      <c r="N31" s="11">
        <f t="shared" si="3"/>
        <v>812150.78</v>
      </c>
      <c r="O31" s="62">
        <f t="shared" si="10"/>
        <v>580943.29772821115</v>
      </c>
      <c r="P31" s="80">
        <f t="shared" si="4"/>
        <v>1.081433674369032</v>
      </c>
      <c r="Q31" s="226">
        <f t="shared" si="5"/>
        <v>3851461.4036186985</v>
      </c>
      <c r="R31" s="223"/>
      <c r="S31" s="122"/>
      <c r="T31" s="122"/>
      <c r="U31" s="122"/>
      <c r="V31" s="65">
        <f t="shared" si="6"/>
        <v>0</v>
      </c>
      <c r="W31" s="121">
        <f t="shared" si="11"/>
        <v>545086.35098174785</v>
      </c>
      <c r="X31" s="66">
        <f t="shared" si="7"/>
        <v>1.487923961536439E-2</v>
      </c>
      <c r="Y31" s="121">
        <f t="shared" si="12"/>
        <v>4727.8870666564999</v>
      </c>
      <c r="Z31" s="121">
        <f>C31*Allocations!$B$11</f>
        <v>532641.21051338513</v>
      </c>
      <c r="AA31" s="228">
        <f t="shared" si="13"/>
        <v>258772.9028672897</v>
      </c>
      <c r="AB31" s="67">
        <f t="shared" si="14"/>
        <v>573226.04432650493</v>
      </c>
      <c r="AC31" s="81"/>
      <c r="AD31" s="82"/>
      <c r="AE31" s="83"/>
      <c r="AF31" s="84"/>
      <c r="AG31" s="72">
        <f>1184493.4+575252.1</f>
        <v>1759745.5</v>
      </c>
      <c r="AH31" s="190">
        <f>236898.68+575252.1</f>
        <v>812150.78</v>
      </c>
      <c r="AI31" s="72"/>
      <c r="AJ31" s="73"/>
      <c r="AK31" s="72"/>
      <c r="AL31" s="73"/>
      <c r="AM31" s="72"/>
      <c r="AN31" s="73"/>
      <c r="AO31" s="72"/>
      <c r="AP31" s="73"/>
      <c r="AQ31" s="200"/>
      <c r="AR31" s="202"/>
      <c r="AS31" s="72"/>
      <c r="AT31" s="73"/>
      <c r="AU31" s="75"/>
      <c r="AV31" s="76"/>
      <c r="AW31" s="72"/>
      <c r="AX31" s="73"/>
      <c r="AY31" s="77"/>
      <c r="AZ31" s="78"/>
      <c r="BA31" s="79"/>
    </row>
    <row r="32" spans="1:54" s="114" customFormat="1" ht="12.75">
      <c r="A32" s="193" t="s">
        <v>29</v>
      </c>
      <c r="B32" s="194">
        <v>28</v>
      </c>
      <c r="C32" s="195">
        <v>7.0682320999671264E-3</v>
      </c>
      <c r="D32" s="11">
        <v>255762.65273617351</v>
      </c>
      <c r="E32" s="230">
        <v>260297.55666522987</v>
      </c>
      <c r="F32" s="9">
        <f>C32*Allocations!$B$6</f>
        <v>260597.23564726798</v>
      </c>
      <c r="G32" s="9">
        <f>C32*Allocations!$B$12</f>
        <v>123715.26644572458</v>
      </c>
      <c r="H32" s="11">
        <f t="shared" si="0"/>
        <v>776657.44504867133</v>
      </c>
      <c r="I32" s="15">
        <f t="shared" si="8"/>
        <v>900372.71149439598</v>
      </c>
      <c r="J32" s="59">
        <f t="shared" si="1"/>
        <v>258885.81501622379</v>
      </c>
      <c r="K32" s="60">
        <v>-1270234.1262823972</v>
      </c>
      <c r="L32" s="61">
        <f t="shared" si="9"/>
        <v>-885921.62418940465</v>
      </c>
      <c r="M32" s="11">
        <f t="shared" si="2"/>
        <v>0</v>
      </c>
      <c r="N32" s="11">
        <f t="shared" si="3"/>
        <v>0</v>
      </c>
      <c r="O32" s="62">
        <f t="shared" si="10"/>
        <v>-885921.62418940465</v>
      </c>
      <c r="P32" s="80">
        <f t="shared" si="4"/>
        <v>-3.4220554885708432</v>
      </c>
      <c r="Q32" s="226">
        <f t="shared" si="5"/>
        <v>677661.78969420318</v>
      </c>
      <c r="R32" s="118"/>
      <c r="S32" s="15"/>
      <c r="T32" s="15">
        <v>978423.83000000007</v>
      </c>
      <c r="U32" s="15">
        <v>978423.83000000007</v>
      </c>
      <c r="V32" s="65">
        <f t="shared" si="6"/>
        <v>0</v>
      </c>
      <c r="W32" s="11">
        <f t="shared" si="11"/>
        <v>260597.23564726798</v>
      </c>
      <c r="X32" s="196">
        <f t="shared" si="7"/>
        <v>7.113531104408659E-3</v>
      </c>
      <c r="Y32" s="11">
        <f t="shared" si="12"/>
        <v>2260.3286576596192</v>
      </c>
      <c r="Z32" s="11">
        <f>C32*Allocations!$B$11</f>
        <v>254647.40917031432</v>
      </c>
      <c r="AA32" s="230">
        <f t="shared" si="13"/>
        <v>123715.26644572458</v>
      </c>
      <c r="AB32" s="60">
        <f t="shared" si="14"/>
        <v>-889611.12200869853</v>
      </c>
      <c r="AC32" s="81"/>
      <c r="AD32" s="82"/>
      <c r="AE32" s="83"/>
      <c r="AF32" s="84"/>
      <c r="AG32" s="72"/>
      <c r="AH32" s="73"/>
      <c r="AI32" s="72"/>
      <c r="AJ32" s="123"/>
      <c r="AK32" s="72"/>
      <c r="AL32" s="73"/>
      <c r="AM32" s="72"/>
      <c r="AN32" s="73"/>
      <c r="AO32" s="72"/>
      <c r="AP32" s="73"/>
      <c r="AQ32" s="200"/>
      <c r="AR32" s="202"/>
      <c r="AS32" s="72"/>
      <c r="AT32" s="73"/>
      <c r="AU32" s="75"/>
      <c r="AV32" s="76"/>
      <c r="AW32" s="72"/>
      <c r="AX32" s="73"/>
      <c r="AY32" s="77"/>
      <c r="AZ32" s="78"/>
      <c r="BA32" s="79"/>
      <c r="BB32" s="30"/>
    </row>
    <row r="33" spans="1:54" ht="12.75">
      <c r="A33" s="113" t="s">
        <v>30</v>
      </c>
      <c r="B33" s="57">
        <v>29</v>
      </c>
      <c r="C33" s="58">
        <v>8.5586854749037586E-3</v>
      </c>
      <c r="D33" s="121">
        <v>380085.44448220474</v>
      </c>
      <c r="E33" s="228">
        <v>333658.20651224343</v>
      </c>
      <c r="F33" s="9">
        <f>C33*Allocations!$B$6</f>
        <v>315548.4630371317</v>
      </c>
      <c r="G33" s="9">
        <f>C33*Allocations!$B$12</f>
        <v>149802.67186724045</v>
      </c>
      <c r="H33" s="11">
        <f t="shared" si="0"/>
        <v>1029292.1140315799</v>
      </c>
      <c r="I33" s="15">
        <f t="shared" si="8"/>
        <v>1179094.7858988205</v>
      </c>
      <c r="J33" s="59">
        <f t="shared" si="1"/>
        <v>343097.37134386</v>
      </c>
      <c r="K33" s="60">
        <v>286992.2304698198</v>
      </c>
      <c r="L33" s="61">
        <f t="shared" si="9"/>
        <v>752343.3653741919</v>
      </c>
      <c r="M33" s="11">
        <f t="shared" si="2"/>
        <v>1363990.9100000001</v>
      </c>
      <c r="N33" s="11">
        <f t="shared" si="3"/>
        <v>1363990.9100000001</v>
      </c>
      <c r="O33" s="62">
        <f t="shared" si="10"/>
        <v>-611647.54462580825</v>
      </c>
      <c r="P33" s="80">
        <f t="shared" si="4"/>
        <v>-1.7827229110793774</v>
      </c>
      <c r="Q33" s="226">
        <f t="shared" si="5"/>
        <v>1281643.233596982</v>
      </c>
      <c r="R33" s="223"/>
      <c r="S33" s="122"/>
      <c r="T33" s="122"/>
      <c r="U33" s="122"/>
      <c r="V33" s="65">
        <f t="shared" si="6"/>
        <v>0</v>
      </c>
      <c r="W33" s="121">
        <f t="shared" si="11"/>
        <v>315548.4630371317</v>
      </c>
      <c r="X33" s="66">
        <f t="shared" si="7"/>
        <v>8.6135365219347625E-3</v>
      </c>
      <c r="Y33" s="121">
        <f t="shared" si="12"/>
        <v>2736.9562540129473</v>
      </c>
      <c r="Z33" s="121">
        <f>C33*Allocations!$B$11</f>
        <v>308344.01746626</v>
      </c>
      <c r="AA33" s="228">
        <f t="shared" si="13"/>
        <v>149802.67186724045</v>
      </c>
      <c r="AB33" s="67">
        <f t="shared" si="14"/>
        <v>-616115.03394266695</v>
      </c>
      <c r="AC33" s="81"/>
      <c r="AD33" s="82"/>
      <c r="AE33" s="115">
        <v>1363990.9100000001</v>
      </c>
      <c r="AF33" s="59">
        <v>1363990.9100000001</v>
      </c>
      <c r="AG33" s="72"/>
      <c r="AH33" s="73"/>
      <c r="AI33" s="72"/>
      <c r="AJ33" s="73"/>
      <c r="AK33" s="72"/>
      <c r="AL33" s="73"/>
      <c r="AM33" s="72"/>
      <c r="AN33" s="73"/>
      <c r="AO33" s="72"/>
      <c r="AP33" s="73"/>
      <c r="AQ33" s="200"/>
      <c r="AR33" s="202"/>
      <c r="AS33" s="72"/>
      <c r="AT33" s="73"/>
      <c r="AU33" s="75"/>
      <c r="AV33" s="76"/>
      <c r="AW33" s="72"/>
      <c r="AX33" s="73"/>
      <c r="AY33" s="77"/>
      <c r="AZ33" s="78"/>
      <c r="BA33" s="79"/>
    </row>
    <row r="34" spans="1:54" ht="12.75">
      <c r="A34" s="91" t="s">
        <v>31</v>
      </c>
      <c r="B34" s="92">
        <v>30</v>
      </c>
      <c r="C34" s="93">
        <v>3.8053305056502153E-3</v>
      </c>
      <c r="D34" s="221">
        <v>121333.53518603853</v>
      </c>
      <c r="E34" s="229">
        <v>141077.32191863048</v>
      </c>
      <c r="F34" s="10">
        <f>C34*Allocations!$B$6</f>
        <v>140297.96934671665</v>
      </c>
      <c r="G34" s="10">
        <f>C34*Allocations!$B$12</f>
        <v>66604.699840395697</v>
      </c>
      <c r="H34" s="12">
        <f t="shared" si="0"/>
        <v>402708.82645138563</v>
      </c>
      <c r="I34" s="16">
        <f t="shared" si="8"/>
        <v>469313.52629178134</v>
      </c>
      <c r="J34" s="94">
        <f t="shared" si="1"/>
        <v>134236.27548379521</v>
      </c>
      <c r="K34" s="95">
        <v>193113.32954478345</v>
      </c>
      <c r="L34" s="96">
        <f t="shared" si="9"/>
        <v>400015.99873189582</v>
      </c>
      <c r="M34" s="12">
        <f t="shared" si="2"/>
        <v>1643438.76</v>
      </c>
      <c r="N34" s="12">
        <f t="shared" si="3"/>
        <v>1261098.76</v>
      </c>
      <c r="O34" s="97">
        <f t="shared" si="10"/>
        <v>-861082.76126810419</v>
      </c>
      <c r="P34" s="98">
        <f t="shared" si="4"/>
        <v>-6.4146800718711292</v>
      </c>
      <c r="Q34" s="227">
        <f t="shared" si="5"/>
        <v>-19294.945187804289</v>
      </c>
      <c r="R34" s="224"/>
      <c r="S34" s="222"/>
      <c r="T34" s="222"/>
      <c r="U34" s="222"/>
      <c r="V34" s="99">
        <f t="shared" si="6"/>
        <v>0</v>
      </c>
      <c r="W34" s="221">
        <f t="shared" si="11"/>
        <v>140297.96934671665</v>
      </c>
      <c r="X34" s="100">
        <f t="shared" si="7"/>
        <v>3.8297181716236842E-3</v>
      </c>
      <c r="Y34" s="221">
        <f t="shared" si="12"/>
        <v>1216.8951828601605</v>
      </c>
      <c r="Z34" s="221">
        <f>C34*Allocations!$B$11</f>
        <v>137094.75588741578</v>
      </c>
      <c r="AA34" s="229">
        <f t="shared" si="13"/>
        <v>66604.699840395697</v>
      </c>
      <c r="AB34" s="101">
        <f t="shared" si="14"/>
        <v>-863069.07954454515</v>
      </c>
      <c r="AC34" s="102"/>
      <c r="AD34" s="103"/>
      <c r="AE34" s="104"/>
      <c r="AF34" s="105"/>
      <c r="AG34" s="106"/>
      <c r="AH34" s="107"/>
      <c r="AI34" s="106"/>
      <c r="AJ34" s="107"/>
      <c r="AK34" s="106"/>
      <c r="AL34" s="107"/>
      <c r="AM34" s="106"/>
      <c r="AN34" s="107"/>
      <c r="AO34" s="106"/>
      <c r="AP34" s="107"/>
      <c r="AQ34" s="203"/>
      <c r="AR34" s="204"/>
      <c r="AS34" s="106"/>
      <c r="AT34" s="107"/>
      <c r="AU34" s="108"/>
      <c r="AV34" s="109"/>
      <c r="AW34" s="106"/>
      <c r="AX34" s="107"/>
      <c r="AY34" s="110">
        <v>1643438.76</v>
      </c>
      <c r="AZ34" s="111">
        <v>1261098.76</v>
      </c>
      <c r="BA34" s="112"/>
    </row>
    <row r="35" spans="1:54" ht="12.75">
      <c r="A35" s="113" t="s">
        <v>32</v>
      </c>
      <c r="B35" s="57">
        <v>31</v>
      </c>
      <c r="C35" s="58">
        <v>9.5749802904323816E-3</v>
      </c>
      <c r="D35" s="121">
        <v>355175.89363431715</v>
      </c>
      <c r="E35" s="228">
        <v>361343.52058767376</v>
      </c>
      <c r="F35" s="9">
        <f>C35*Allocations!$B$6</f>
        <v>353018.03333189338</v>
      </c>
      <c r="G35" s="9">
        <f>C35*Allocations!$B$12</f>
        <v>167590.88002343793</v>
      </c>
      <c r="H35" s="11">
        <f t="shared" si="0"/>
        <v>1069537.4475538842</v>
      </c>
      <c r="I35" s="15">
        <f t="shared" si="8"/>
        <v>1237128.3275773223</v>
      </c>
      <c r="J35" s="59">
        <f t="shared" si="1"/>
        <v>356512.48251796141</v>
      </c>
      <c r="K35" s="60">
        <v>-2123572.664209031</v>
      </c>
      <c r="L35" s="61">
        <f t="shared" si="9"/>
        <v>-1602963.7508536996</v>
      </c>
      <c r="M35" s="11">
        <f t="shared" si="2"/>
        <v>0</v>
      </c>
      <c r="N35" s="11">
        <f t="shared" si="3"/>
        <v>0</v>
      </c>
      <c r="O35" s="62">
        <f t="shared" si="10"/>
        <v>-1602963.7508536996</v>
      </c>
      <c r="P35" s="80">
        <f t="shared" si="4"/>
        <v>-4.4962345765072644</v>
      </c>
      <c r="Q35" s="226">
        <f t="shared" si="5"/>
        <v>515144.44913766067</v>
      </c>
      <c r="R35" s="223"/>
      <c r="S35" s="122"/>
      <c r="T35" s="122">
        <v>814685.26</v>
      </c>
      <c r="U35" s="122">
        <v>814685.26</v>
      </c>
      <c r="V35" s="65">
        <f t="shared" si="6"/>
        <v>0</v>
      </c>
      <c r="W35" s="121">
        <f t="shared" si="11"/>
        <v>353018.03333189338</v>
      </c>
      <c r="X35" s="66">
        <f t="shared" si="7"/>
        <v>9.6363445847240051E-3</v>
      </c>
      <c r="Y35" s="121">
        <f t="shared" si="12"/>
        <v>3061.9541125553865</v>
      </c>
      <c r="Z35" s="121">
        <f>C35*Allocations!$B$11</f>
        <v>344958.10116744321</v>
      </c>
      <c r="AA35" s="228">
        <f t="shared" si="13"/>
        <v>167590.88002343793</v>
      </c>
      <c r="AB35" s="67">
        <f t="shared" si="14"/>
        <v>-1607961.7289055944</v>
      </c>
      <c r="AC35" s="81"/>
      <c r="AD35" s="82"/>
      <c r="AE35" s="83"/>
      <c r="AF35" s="84"/>
      <c r="AG35" s="72"/>
      <c r="AH35" s="73"/>
      <c r="AI35" s="72"/>
      <c r="AJ35" s="73"/>
      <c r="AK35" s="72"/>
      <c r="AL35" s="73"/>
      <c r="AM35" s="72"/>
      <c r="AN35" s="73"/>
      <c r="AO35" s="72"/>
      <c r="AP35" s="73"/>
      <c r="AQ35" s="200"/>
      <c r="AR35" s="202"/>
      <c r="AS35" s="72"/>
      <c r="AT35" s="73"/>
      <c r="AU35" s="75"/>
      <c r="AV35" s="76"/>
      <c r="AW35" s="72"/>
      <c r="AX35" s="73"/>
      <c r="AY35" s="77"/>
      <c r="AZ35" s="78"/>
      <c r="BA35" s="79"/>
    </row>
    <row r="36" spans="1:54" ht="12.75">
      <c r="A36" s="113" t="s">
        <v>33</v>
      </c>
      <c r="B36" s="57">
        <v>32</v>
      </c>
      <c r="C36" s="58">
        <v>5.1074561782522713E-3</v>
      </c>
      <c r="D36" s="121">
        <v>191404.18449160652</v>
      </c>
      <c r="E36" s="228">
        <v>193533.98315959051</v>
      </c>
      <c r="F36" s="9">
        <f>C36*Allocations!$B$6</f>
        <v>188305.78034474733</v>
      </c>
      <c r="G36" s="9">
        <f>C36*Allocations!$B$12</f>
        <v>89395.805487949488</v>
      </c>
      <c r="H36" s="11">
        <f t="shared" si="0"/>
        <v>573243.94799594441</v>
      </c>
      <c r="I36" s="15">
        <f t="shared" si="8"/>
        <v>662639.75348389393</v>
      </c>
      <c r="J36" s="59">
        <f t="shared" si="1"/>
        <v>191081.31599864815</v>
      </c>
      <c r="K36" s="60">
        <v>-722179.18557404191</v>
      </c>
      <c r="L36" s="61">
        <f t="shared" si="9"/>
        <v>-444477.5997413451</v>
      </c>
      <c r="M36" s="11">
        <f t="shared" si="2"/>
        <v>0</v>
      </c>
      <c r="N36" s="11">
        <f t="shared" si="3"/>
        <v>0</v>
      </c>
      <c r="O36" s="62">
        <f t="shared" si="10"/>
        <v>-444477.5997413451</v>
      </c>
      <c r="P36" s="80">
        <f t="shared" si="4"/>
        <v>-2.3261175349268042</v>
      </c>
      <c r="Q36" s="226">
        <f t="shared" si="5"/>
        <v>685357.08232713887</v>
      </c>
      <c r="R36" s="223"/>
      <c r="S36" s="122"/>
      <c r="T36" s="122"/>
      <c r="U36" s="122"/>
      <c r="V36" s="65">
        <f t="shared" si="6"/>
        <v>0</v>
      </c>
      <c r="W36" s="121">
        <f t="shared" si="11"/>
        <v>188305.78034474733</v>
      </c>
      <c r="X36" s="66">
        <f t="shared" si="7"/>
        <v>5.140188929077567E-3</v>
      </c>
      <c r="Y36" s="121">
        <f t="shared" si="12"/>
        <v>1633.2980304223424</v>
      </c>
      <c r="Z36" s="121">
        <f>C36*Allocations!$B$11</f>
        <v>184006.47642129703</v>
      </c>
      <c r="AA36" s="228">
        <f t="shared" si="13"/>
        <v>89395.805487949488</v>
      </c>
      <c r="AB36" s="67">
        <f t="shared" si="14"/>
        <v>-447143.60563437303</v>
      </c>
      <c r="AC36" s="81"/>
      <c r="AD36" s="82"/>
      <c r="AE36" s="83"/>
      <c r="AF36" s="84"/>
      <c r="AG36" s="72"/>
      <c r="AH36" s="73"/>
      <c r="AI36" s="72"/>
      <c r="AJ36" s="73"/>
      <c r="AK36" s="72"/>
      <c r="AL36" s="73"/>
      <c r="AM36" s="124"/>
      <c r="AN36" s="73"/>
      <c r="AO36" s="72"/>
      <c r="AP36" s="73"/>
      <c r="AQ36" s="200"/>
      <c r="AR36" s="202"/>
      <c r="AS36" s="72"/>
      <c r="AT36" s="73"/>
      <c r="AU36" s="75"/>
      <c r="AV36" s="76"/>
      <c r="AW36" s="72"/>
      <c r="AX36" s="73"/>
      <c r="AY36" s="77"/>
      <c r="AZ36" s="78"/>
      <c r="BA36" s="79"/>
    </row>
    <row r="37" spans="1:54" ht="12.75">
      <c r="A37" s="113" t="s">
        <v>34</v>
      </c>
      <c r="B37" s="57">
        <v>33</v>
      </c>
      <c r="C37" s="58">
        <v>1.1884899338778865E-2</v>
      </c>
      <c r="D37" s="121">
        <v>391963.94783854263</v>
      </c>
      <c r="E37" s="228">
        <v>433102.53085611796</v>
      </c>
      <c r="F37" s="9">
        <f>C37*Allocations!$B$6</f>
        <v>438181.97674157022</v>
      </c>
      <c r="G37" s="9">
        <f>C37*Allocations!$B$12</f>
        <v>208021.39312664644</v>
      </c>
      <c r="H37" s="11">
        <f t="shared" ref="H37:H68" si="15">SUM(D37:F37)</f>
        <v>1263248.4554362309</v>
      </c>
      <c r="I37" s="15">
        <f t="shared" si="8"/>
        <v>1471269.8485628774</v>
      </c>
      <c r="J37" s="59">
        <f t="shared" ref="J37:J68" si="16">SUM(D37:F37)/3</f>
        <v>421082.8184787436</v>
      </c>
      <c r="K37" s="60">
        <v>611718.06255775923</v>
      </c>
      <c r="L37" s="61">
        <f t="shared" si="9"/>
        <v>1257921.4324259758</v>
      </c>
      <c r="M37" s="11">
        <f t="shared" ref="M37:M68" si="17">AC37+AE37+AG37+AI37+AK37+AM37+AO37+AQ37+AS37+AU37+AW37+AY37+BA37</f>
        <v>179894</v>
      </c>
      <c r="N37" s="11">
        <f t="shared" ref="N37:N68" si="18">AD37+AF37+AH37+AJ37+AL37+AN37+AP37+AR37+AT37+AV37+AX37+AZ37+BA37</f>
        <v>143915.20000000001</v>
      </c>
      <c r="O37" s="62">
        <f t="shared" si="10"/>
        <v>1114006.2324259758</v>
      </c>
      <c r="P37" s="80">
        <f t="shared" ref="P37:P68" si="19">O37/J37</f>
        <v>2.6455751304471979</v>
      </c>
      <c r="Q37" s="226">
        <f t="shared" ref="Q37:Q68" si="20">(F37*6)+O37</f>
        <v>3743098.0928753968</v>
      </c>
      <c r="R37" s="223">
        <v>281201.7</v>
      </c>
      <c r="S37" s="122">
        <v>281201.7</v>
      </c>
      <c r="T37" s="122"/>
      <c r="U37" s="122"/>
      <c r="V37" s="65">
        <f t="shared" si="6"/>
        <v>0</v>
      </c>
      <c r="W37" s="121">
        <f t="shared" si="11"/>
        <v>438181.97674157022</v>
      </c>
      <c r="X37" s="66">
        <f t="shared" ref="X37:X68" si="21">IF(W37&gt;0.01,F37/$W$104,0)</f>
        <v>1.1961067481013049E-2</v>
      </c>
      <c r="Y37" s="121">
        <f t="shared" si="12"/>
        <v>3800.6361688330344</v>
      </c>
      <c r="Z37" s="121">
        <f>C37*Allocations!$B$11</f>
        <v>428177.62377725192</v>
      </c>
      <c r="AA37" s="228">
        <f t="shared" si="13"/>
        <v>208021.39312664644</v>
      </c>
      <c r="AB37" s="67">
        <f t="shared" si="14"/>
        <v>1107802.5156304906</v>
      </c>
      <c r="AC37" s="81"/>
      <c r="AD37" s="82"/>
      <c r="AE37" s="83"/>
      <c r="AF37" s="84"/>
      <c r="AG37" s="72"/>
      <c r="AH37" s="73"/>
      <c r="AI37" s="72"/>
      <c r="AJ37" s="73"/>
      <c r="AK37" s="72"/>
      <c r="AL37" s="73"/>
      <c r="AM37" s="124"/>
      <c r="AN37" s="73"/>
      <c r="AO37" s="72"/>
      <c r="AP37" s="73"/>
      <c r="AQ37" s="207">
        <v>179894</v>
      </c>
      <c r="AR37" s="206">
        <v>143915.20000000001</v>
      </c>
      <c r="AS37" s="72"/>
      <c r="AT37" s="73"/>
      <c r="AU37" s="75"/>
      <c r="AV37" s="76"/>
      <c r="AW37" s="72"/>
      <c r="AX37" s="73"/>
      <c r="AY37" s="77"/>
      <c r="AZ37" s="78"/>
      <c r="BA37" s="79"/>
    </row>
    <row r="38" spans="1:54" ht="12.75">
      <c r="A38" s="113" t="s">
        <v>35</v>
      </c>
      <c r="B38" s="57">
        <v>34</v>
      </c>
      <c r="C38" s="58">
        <v>9.1364116816500807E-3</v>
      </c>
      <c r="D38" s="121">
        <v>313685.122713844</v>
      </c>
      <c r="E38" s="228">
        <v>361763.55991721497</v>
      </c>
      <c r="F38" s="9">
        <f>C38*Allocations!$B$6</f>
        <v>336848.53500842047</v>
      </c>
      <c r="G38" s="9">
        <f>C38*Allocations!$B$12</f>
        <v>159914.61366392134</v>
      </c>
      <c r="H38" s="11">
        <f t="shared" si="15"/>
        <v>1012297.2176394794</v>
      </c>
      <c r="I38" s="15">
        <f t="shared" si="8"/>
        <v>1172211.8313034007</v>
      </c>
      <c r="J38" s="59">
        <f t="shared" si="16"/>
        <v>337432.40587982646</v>
      </c>
      <c r="K38" s="60">
        <v>-519861.71752363903</v>
      </c>
      <c r="L38" s="61">
        <f t="shared" si="9"/>
        <v>-23098.568851297197</v>
      </c>
      <c r="M38" s="11">
        <f t="shared" si="17"/>
        <v>501799.95</v>
      </c>
      <c r="N38" s="11">
        <f t="shared" si="18"/>
        <v>501799.95</v>
      </c>
      <c r="O38" s="62">
        <f t="shared" si="10"/>
        <v>-524898.51885129721</v>
      </c>
      <c r="P38" s="80">
        <f t="shared" si="19"/>
        <v>-1.555566417762007</v>
      </c>
      <c r="Q38" s="226">
        <f t="shared" si="20"/>
        <v>1496192.6911992256</v>
      </c>
      <c r="R38" s="223"/>
      <c r="S38" s="122"/>
      <c r="T38" s="122"/>
      <c r="U38" s="122"/>
      <c r="V38" s="65">
        <f t="shared" si="6"/>
        <v>0</v>
      </c>
      <c r="W38" s="121">
        <f t="shared" si="11"/>
        <v>336848.53500842047</v>
      </c>
      <c r="X38" s="66">
        <f t="shared" si="21"/>
        <v>9.1949652700853927E-3</v>
      </c>
      <c r="Y38" s="121">
        <f t="shared" si="12"/>
        <v>2921.7055778779309</v>
      </c>
      <c r="Z38" s="121">
        <f>C38*Allocations!$B$11</f>
        <v>329157.77678783471</v>
      </c>
      <c r="AA38" s="228">
        <f t="shared" si="13"/>
        <v>159914.61366392134</v>
      </c>
      <c r="AB38" s="67">
        <f t="shared" si="14"/>
        <v>-529667.57149400504</v>
      </c>
      <c r="AC38" s="81"/>
      <c r="AD38" s="82"/>
      <c r="AE38" s="83"/>
      <c r="AF38" s="84"/>
      <c r="AG38" s="72">
        <v>501799.95</v>
      </c>
      <c r="AH38" s="73">
        <v>501799.95</v>
      </c>
      <c r="AI38" s="72"/>
      <c r="AJ38" s="73"/>
      <c r="AK38" s="72"/>
      <c r="AL38" s="73"/>
      <c r="AM38" s="124"/>
      <c r="AN38" s="73"/>
      <c r="AO38" s="72"/>
      <c r="AP38" s="73"/>
      <c r="AQ38" s="200"/>
      <c r="AR38" s="202"/>
      <c r="AS38" s="72"/>
      <c r="AT38" s="73"/>
      <c r="AU38" s="75"/>
      <c r="AV38" s="76"/>
      <c r="AW38" s="72"/>
      <c r="AX38" s="73"/>
      <c r="AY38" s="77"/>
      <c r="AZ38" s="78"/>
      <c r="BA38" s="79"/>
    </row>
    <row r="39" spans="1:54" ht="12.75">
      <c r="A39" s="91" t="s">
        <v>36</v>
      </c>
      <c r="B39" s="92">
        <v>35</v>
      </c>
      <c r="C39" s="93">
        <v>7.4498588080561421E-3</v>
      </c>
      <c r="D39" s="221">
        <v>319238.0684555638</v>
      </c>
      <c r="E39" s="229">
        <v>268218.60011678975</v>
      </c>
      <c r="F39" s="10">
        <f>C39*Allocations!$B$6</f>
        <v>274667.35442246031</v>
      </c>
      <c r="G39" s="10">
        <f>C39*Allocations!$B$12</f>
        <v>130394.87871740662</v>
      </c>
      <c r="H39" s="12">
        <f t="shared" si="15"/>
        <v>862124.02299481386</v>
      </c>
      <c r="I39" s="16">
        <f t="shared" si="8"/>
        <v>992518.90171222051</v>
      </c>
      <c r="J39" s="94">
        <f t="shared" si="16"/>
        <v>287374.67433160462</v>
      </c>
      <c r="K39" s="95">
        <v>4888.0373110240907</v>
      </c>
      <c r="L39" s="96">
        <f t="shared" si="9"/>
        <v>409950.27045089105</v>
      </c>
      <c r="M39" s="12">
        <f t="shared" si="17"/>
        <v>384418.6</v>
      </c>
      <c r="N39" s="12">
        <f t="shared" si="18"/>
        <v>384418.6</v>
      </c>
      <c r="O39" s="97">
        <f t="shared" si="10"/>
        <v>25531.670450891077</v>
      </c>
      <c r="P39" s="98">
        <f t="shared" si="19"/>
        <v>8.8844538963895672E-2</v>
      </c>
      <c r="Q39" s="227">
        <f t="shared" si="20"/>
        <v>1673535.796985653</v>
      </c>
      <c r="R39" s="224">
        <v>698479.37</v>
      </c>
      <c r="S39" s="222">
        <v>343449.37</v>
      </c>
      <c r="T39" s="222"/>
      <c r="U39" s="222"/>
      <c r="V39" s="99">
        <f t="shared" si="6"/>
        <v>0</v>
      </c>
      <c r="W39" s="221">
        <f t="shared" si="11"/>
        <v>274667.35442246031</v>
      </c>
      <c r="X39" s="100">
        <f t="shared" si="21"/>
        <v>7.4976035881457069E-3</v>
      </c>
      <c r="Y39" s="221">
        <f t="shared" si="12"/>
        <v>2382.3679133917449</v>
      </c>
      <c r="Z39" s="221">
        <f>C39*Allocations!$B$11</f>
        <v>268396.28599136771</v>
      </c>
      <c r="AA39" s="229">
        <f t="shared" si="13"/>
        <v>130394.87871740662</v>
      </c>
      <c r="AB39" s="101">
        <f t="shared" si="14"/>
        <v>21642.969933190179</v>
      </c>
      <c r="AC39" s="102"/>
      <c r="AD39" s="103"/>
      <c r="AE39" s="104"/>
      <c r="AF39" s="105"/>
      <c r="AG39" s="106"/>
      <c r="AH39" s="107"/>
      <c r="AI39" s="106"/>
      <c r="AJ39" s="107"/>
      <c r="AK39" s="106"/>
      <c r="AL39" s="107"/>
      <c r="AM39" s="187">
        <v>233893.7</v>
      </c>
      <c r="AN39" s="94">
        <v>233893.7</v>
      </c>
      <c r="AO39" s="106"/>
      <c r="AP39" s="107"/>
      <c r="AQ39" s="208">
        <v>150524.9</v>
      </c>
      <c r="AR39" s="209">
        <v>150524.9</v>
      </c>
      <c r="AS39" s="106"/>
      <c r="AT39" s="107"/>
      <c r="AU39" s="108"/>
      <c r="AV39" s="109"/>
      <c r="AW39" s="106"/>
      <c r="AX39" s="107"/>
      <c r="AY39" s="110"/>
      <c r="AZ39" s="111"/>
      <c r="BA39" s="112"/>
    </row>
    <row r="40" spans="1:54" ht="12.75">
      <c r="A40" s="113" t="s">
        <v>37</v>
      </c>
      <c r="B40" s="57">
        <v>36</v>
      </c>
      <c r="C40" s="58">
        <v>7.9403568403341347E-3</v>
      </c>
      <c r="D40" s="121">
        <v>257828.34011137285</v>
      </c>
      <c r="E40" s="228">
        <v>286476.36412880034</v>
      </c>
      <c r="F40" s="9">
        <f>C40*Allocations!$B$6</f>
        <v>292751.42827491113</v>
      </c>
      <c r="G40" s="9">
        <f>C40*Allocations!$B$12</f>
        <v>138980.06577636834</v>
      </c>
      <c r="H40" s="11">
        <f t="shared" si="15"/>
        <v>837056.13251508435</v>
      </c>
      <c r="I40" s="15">
        <f t="shared" si="8"/>
        <v>976036.19829145272</v>
      </c>
      <c r="J40" s="59">
        <f t="shared" si="16"/>
        <v>279018.71083836147</v>
      </c>
      <c r="K40" s="60">
        <v>-249298.31486022077</v>
      </c>
      <c r="L40" s="61">
        <f t="shared" si="9"/>
        <v>182433.17919105873</v>
      </c>
      <c r="M40" s="11">
        <f t="shared" si="17"/>
        <v>1245346.1399999999</v>
      </c>
      <c r="N40" s="11">
        <f t="shared" si="18"/>
        <v>835696.13</v>
      </c>
      <c r="O40" s="62">
        <f t="shared" si="10"/>
        <v>-653262.95080894127</v>
      </c>
      <c r="P40" s="80">
        <f t="shared" si="19"/>
        <v>-2.3412872521921426</v>
      </c>
      <c r="Q40" s="226">
        <f t="shared" si="20"/>
        <v>1103245.6188405254</v>
      </c>
      <c r="R40" s="223"/>
      <c r="S40" s="122"/>
      <c r="T40" s="122"/>
      <c r="U40" s="122"/>
      <c r="V40" s="65">
        <f t="shared" si="6"/>
        <v>0</v>
      </c>
      <c r="W40" s="121">
        <f t="shared" si="11"/>
        <v>292751.42827491113</v>
      </c>
      <c r="X40" s="66">
        <f t="shared" si="21"/>
        <v>7.9912451324403496E-3</v>
      </c>
      <c r="Y40" s="121">
        <f t="shared" si="12"/>
        <v>2539.2228020263096</v>
      </c>
      <c r="Z40" s="121">
        <f>C40*Allocations!$B$11</f>
        <v>286067.47326368565</v>
      </c>
      <c r="AA40" s="228">
        <f t="shared" si="13"/>
        <v>138980.06577636834</v>
      </c>
      <c r="AB40" s="67">
        <f t="shared" si="14"/>
        <v>-657407.68301814073</v>
      </c>
      <c r="AC40" s="81"/>
      <c r="AD40" s="82"/>
      <c r="AE40" s="83"/>
      <c r="AF40" s="84"/>
      <c r="AG40" s="72"/>
      <c r="AH40" s="73"/>
      <c r="AI40" s="72"/>
      <c r="AJ40" s="73"/>
      <c r="AK40" s="72"/>
      <c r="AL40" s="73"/>
      <c r="AM40" s="72"/>
      <c r="AN40" s="73"/>
      <c r="AO40" s="72"/>
      <c r="AP40" s="73"/>
      <c r="AQ40" s="200"/>
      <c r="AR40" s="202"/>
      <c r="AS40" s="72"/>
      <c r="AT40" s="73"/>
      <c r="AU40" s="75"/>
      <c r="AV40" s="76"/>
      <c r="AW40" s="72"/>
      <c r="AX40" s="73"/>
      <c r="AY40" s="77">
        <v>1245346.1399999999</v>
      </c>
      <c r="AZ40" s="78">
        <v>835696.13</v>
      </c>
      <c r="BA40" s="79"/>
    </row>
    <row r="41" spans="1:54" ht="12.75">
      <c r="A41" s="113" t="s">
        <v>38</v>
      </c>
      <c r="B41" s="57">
        <v>37</v>
      </c>
      <c r="C41" s="58">
        <v>5.3369672504642238E-3</v>
      </c>
      <c r="D41" s="121">
        <v>231531.02617156928</v>
      </c>
      <c r="E41" s="228">
        <v>245815.2342954512</v>
      </c>
      <c r="F41" s="9">
        <f>C41*Allocations!$B$6</f>
        <v>196767.57816391537</v>
      </c>
      <c r="G41" s="9">
        <f>C41*Allocations!$B$12</f>
        <v>93412.937784875292</v>
      </c>
      <c r="H41" s="11">
        <f t="shared" si="15"/>
        <v>674113.83863093588</v>
      </c>
      <c r="I41" s="15">
        <f t="shared" si="8"/>
        <v>767526.77641581115</v>
      </c>
      <c r="J41" s="59">
        <f t="shared" si="16"/>
        <v>224704.61287697862</v>
      </c>
      <c r="K41" s="60">
        <v>-112831.69439848507</v>
      </c>
      <c r="L41" s="61">
        <f t="shared" si="9"/>
        <v>177348.82155030558</v>
      </c>
      <c r="M41" s="11">
        <f t="shared" si="17"/>
        <v>0</v>
      </c>
      <c r="N41" s="11">
        <f t="shared" si="18"/>
        <v>0</v>
      </c>
      <c r="O41" s="62">
        <f t="shared" si="10"/>
        <v>177348.82155030558</v>
      </c>
      <c r="P41" s="80">
        <f t="shared" si="19"/>
        <v>0.78925314117783862</v>
      </c>
      <c r="Q41" s="226">
        <f t="shared" si="20"/>
        <v>1357954.2905337978</v>
      </c>
      <c r="R41" s="223"/>
      <c r="S41" s="122"/>
      <c r="T41" s="122"/>
      <c r="U41" s="122"/>
      <c r="V41" s="65">
        <f t="shared" si="6"/>
        <v>0</v>
      </c>
      <c r="W41" s="121">
        <f t="shared" si="11"/>
        <v>196767.57816391537</v>
      </c>
      <c r="X41" s="66">
        <f t="shared" si="21"/>
        <v>5.3711708956988248E-3</v>
      </c>
      <c r="Y41" s="121">
        <f t="shared" si="12"/>
        <v>1706.6926850451407</v>
      </c>
      <c r="Z41" s="121">
        <f>C41*Allocations!$B$11</f>
        <v>192275.07868111055</v>
      </c>
      <c r="AA41" s="228">
        <f t="shared" si="13"/>
        <v>93412.937784875292</v>
      </c>
      <c r="AB41" s="67">
        <f t="shared" si="14"/>
        <v>174563.01475254592</v>
      </c>
      <c r="AC41" s="87"/>
      <c r="AD41" s="88"/>
      <c r="AE41" s="83"/>
      <c r="AF41" s="84"/>
      <c r="AG41" s="72"/>
      <c r="AH41" s="73"/>
      <c r="AI41" s="72"/>
      <c r="AJ41" s="73"/>
      <c r="AK41" s="72"/>
      <c r="AL41" s="73"/>
      <c r="AM41" s="72"/>
      <c r="AN41" s="73"/>
      <c r="AO41" s="72"/>
      <c r="AP41" s="73"/>
      <c r="AQ41" s="200"/>
      <c r="AR41" s="202"/>
      <c r="AS41" s="72"/>
      <c r="AT41" s="73"/>
      <c r="AU41" s="75"/>
      <c r="AV41" s="76"/>
      <c r="AW41" s="72"/>
      <c r="AX41" s="73"/>
      <c r="AY41" s="77"/>
      <c r="AZ41" s="78"/>
      <c r="BA41" s="79"/>
    </row>
    <row r="42" spans="1:54" ht="12.75">
      <c r="A42" s="113" t="s">
        <v>39</v>
      </c>
      <c r="B42" s="57">
        <v>38</v>
      </c>
      <c r="C42" s="58">
        <v>1.1851661719933024E-2</v>
      </c>
      <c r="D42" s="121">
        <v>348327.08127363975</v>
      </c>
      <c r="E42" s="228">
        <v>416603.46526650363</v>
      </c>
      <c r="F42" s="9">
        <f>C42*Allocations!$B$6</f>
        <v>436956.54561986669</v>
      </c>
      <c r="G42" s="9">
        <f>C42*Allocations!$B$12</f>
        <v>207439.63508398767</v>
      </c>
      <c r="H42" s="11">
        <f t="shared" si="15"/>
        <v>1201887.0921600102</v>
      </c>
      <c r="I42" s="15">
        <f t="shared" si="8"/>
        <v>1409326.7272439979</v>
      </c>
      <c r="J42" s="59">
        <f t="shared" si="16"/>
        <v>400629.03072000341</v>
      </c>
      <c r="K42" s="60">
        <v>581850.55555899325</v>
      </c>
      <c r="L42" s="61">
        <f t="shared" si="9"/>
        <v>1226246.7362628477</v>
      </c>
      <c r="M42" s="11">
        <f t="shared" si="17"/>
        <v>439607.15</v>
      </c>
      <c r="N42" s="11">
        <f t="shared" si="18"/>
        <v>439607.15</v>
      </c>
      <c r="O42" s="62">
        <f t="shared" si="10"/>
        <v>786639.58626284765</v>
      </c>
      <c r="P42" s="80">
        <f t="shared" si="19"/>
        <v>1.9635111935076519</v>
      </c>
      <c r="Q42" s="226">
        <f t="shared" si="20"/>
        <v>3408378.8599820477</v>
      </c>
      <c r="R42" s="223"/>
      <c r="S42" s="122"/>
      <c r="T42" s="122"/>
      <c r="U42" s="122"/>
      <c r="V42" s="65">
        <f t="shared" si="6"/>
        <v>0</v>
      </c>
      <c r="W42" s="121">
        <f t="shared" si="11"/>
        <v>436956.54561986669</v>
      </c>
      <c r="X42" s="66">
        <f t="shared" si="21"/>
        <v>1.1927616848358037E-2</v>
      </c>
      <c r="Y42" s="121">
        <f t="shared" si="12"/>
        <v>3790.0072107955684</v>
      </c>
      <c r="Z42" s="121">
        <f>C42*Allocations!$B$11</f>
        <v>426980.1710894542</v>
      </c>
      <c r="AA42" s="228">
        <f t="shared" si="13"/>
        <v>207439.63508398767</v>
      </c>
      <c r="AB42" s="67">
        <f t="shared" si="14"/>
        <v>780453.21894323057</v>
      </c>
      <c r="AC42" s="81"/>
      <c r="AD42" s="82"/>
      <c r="AE42" s="83"/>
      <c r="AF42" s="84"/>
      <c r="AG42" s="72"/>
      <c r="AH42" s="73"/>
      <c r="AI42" s="72"/>
      <c r="AJ42" s="73"/>
      <c r="AK42" s="72"/>
      <c r="AL42" s="73"/>
      <c r="AM42" s="72"/>
      <c r="AN42" s="73"/>
      <c r="AO42" s="72"/>
      <c r="AP42" s="73"/>
      <c r="AQ42" s="207">
        <v>439607.15</v>
      </c>
      <c r="AR42" s="206">
        <v>439607.15</v>
      </c>
      <c r="AS42" s="72"/>
      <c r="AT42" s="73"/>
      <c r="AU42" s="75"/>
      <c r="AV42" s="76"/>
      <c r="AW42" s="72"/>
      <c r="AX42" s="73"/>
      <c r="AY42" s="77"/>
      <c r="AZ42" s="78"/>
      <c r="BA42" s="79"/>
    </row>
    <row r="43" spans="1:54" ht="12.75">
      <c r="A43" s="113" t="s">
        <v>40</v>
      </c>
      <c r="B43" s="57">
        <v>39</v>
      </c>
      <c r="C43" s="58">
        <v>1.2646715935497441E-2</v>
      </c>
      <c r="D43" s="121">
        <v>460672.94838669727</v>
      </c>
      <c r="E43" s="228">
        <v>387205.65278881515</v>
      </c>
      <c r="F43" s="9">
        <f>C43*Allocations!$B$6</f>
        <v>466269.24048266804</v>
      </c>
      <c r="G43" s="9">
        <f>C43*Allocations!$B$12</f>
        <v>221355.46901901165</v>
      </c>
      <c r="H43" s="11">
        <f t="shared" si="15"/>
        <v>1314147.8416581806</v>
      </c>
      <c r="I43" s="15">
        <f t="shared" si="8"/>
        <v>1535503.3106771922</v>
      </c>
      <c r="J43" s="59">
        <f t="shared" si="16"/>
        <v>438049.28055272688</v>
      </c>
      <c r="K43" s="60">
        <v>942842.28646331606</v>
      </c>
      <c r="L43" s="61">
        <f t="shared" si="9"/>
        <v>1630466.9959649958</v>
      </c>
      <c r="M43" s="11">
        <f t="shared" si="17"/>
        <v>1992953.33</v>
      </c>
      <c r="N43" s="11">
        <f t="shared" si="18"/>
        <v>1596232.33</v>
      </c>
      <c r="O43" s="62">
        <f t="shared" si="10"/>
        <v>34234.665964995744</v>
      </c>
      <c r="P43" s="80">
        <f t="shared" si="19"/>
        <v>7.8152544667574236E-2</v>
      </c>
      <c r="Q43" s="226">
        <f t="shared" si="20"/>
        <v>2831850.108861004</v>
      </c>
      <c r="R43" s="223"/>
      <c r="S43" s="122"/>
      <c r="T43" s="122"/>
      <c r="U43" s="122"/>
      <c r="V43" s="65">
        <f t="shared" si="6"/>
        <v>0</v>
      </c>
      <c r="W43" s="121">
        <f t="shared" si="11"/>
        <v>466269.24048266804</v>
      </c>
      <c r="X43" s="66">
        <f t="shared" si="21"/>
        <v>1.2727766420715034E-2</v>
      </c>
      <c r="Y43" s="121">
        <f t="shared" si="12"/>
        <v>4044.2552041292474</v>
      </c>
      <c r="Z43" s="121">
        <f>C43*Allocations!$B$11</f>
        <v>455623.61308173923</v>
      </c>
      <c r="AA43" s="228">
        <f t="shared" si="13"/>
        <v>221355.46901901165</v>
      </c>
      <c r="AB43" s="67">
        <f t="shared" si="14"/>
        <v>27633.293768196134</v>
      </c>
      <c r="AC43" s="81"/>
      <c r="AD43" s="82"/>
      <c r="AE43" s="83"/>
      <c r="AF43" s="84"/>
      <c r="AG43" s="72">
        <v>1206780.03</v>
      </c>
      <c r="AH43" s="73">
        <v>1206780.03</v>
      </c>
      <c r="AI43" s="72"/>
      <c r="AJ43" s="73"/>
      <c r="AK43" s="72"/>
      <c r="AL43" s="73"/>
      <c r="AM43" s="72"/>
      <c r="AN43" s="73"/>
      <c r="AO43" s="72"/>
      <c r="AP43" s="73"/>
      <c r="AQ43" s="200"/>
      <c r="AR43" s="202"/>
      <c r="AS43" s="72"/>
      <c r="AT43" s="73"/>
      <c r="AU43" s="75"/>
      <c r="AV43" s="76"/>
      <c r="AW43" s="72"/>
      <c r="AX43" s="73"/>
      <c r="AY43" s="77">
        <v>786173.3</v>
      </c>
      <c r="AZ43" s="78">
        <v>389452.3</v>
      </c>
      <c r="BA43" s="79"/>
    </row>
    <row r="44" spans="1:54" ht="12.75">
      <c r="A44" s="91" t="s">
        <v>41</v>
      </c>
      <c r="B44" s="92">
        <v>40</v>
      </c>
      <c r="C44" s="93">
        <v>7.4988189051013628E-3</v>
      </c>
      <c r="D44" s="221">
        <v>311801.60448091611</v>
      </c>
      <c r="E44" s="229">
        <v>259660.69072114196</v>
      </c>
      <c r="F44" s="10">
        <f>C44*Allocations!$B$6</f>
        <v>276472.45444840111</v>
      </c>
      <c r="G44" s="10">
        <f>C44*Allocations!$B$12</f>
        <v>131251.82729598912</v>
      </c>
      <c r="H44" s="12">
        <f t="shared" si="15"/>
        <v>847934.74965045915</v>
      </c>
      <c r="I44" s="16">
        <f t="shared" si="8"/>
        <v>979186.5769464483</v>
      </c>
      <c r="J44" s="94">
        <f t="shared" si="16"/>
        <v>282644.91655015305</v>
      </c>
      <c r="K44" s="95">
        <v>-139554.19004682751</v>
      </c>
      <c r="L44" s="96">
        <f t="shared" si="9"/>
        <v>268170.09169756272</v>
      </c>
      <c r="M44" s="12">
        <f t="shared" si="17"/>
        <v>0</v>
      </c>
      <c r="N44" s="12">
        <f t="shared" si="18"/>
        <v>0</v>
      </c>
      <c r="O44" s="97">
        <f t="shared" si="10"/>
        <v>268170.09169756272</v>
      </c>
      <c r="P44" s="98">
        <f t="shared" si="19"/>
        <v>0.94878795263943161</v>
      </c>
      <c r="Q44" s="227">
        <f t="shared" si="20"/>
        <v>1927004.8183879694</v>
      </c>
      <c r="R44" s="224"/>
      <c r="S44" s="222"/>
      <c r="T44" s="222"/>
      <c r="U44" s="222"/>
      <c r="V44" s="99">
        <f t="shared" si="6"/>
        <v>0</v>
      </c>
      <c r="W44" s="221">
        <f t="shared" si="11"/>
        <v>276472.45444840111</v>
      </c>
      <c r="X44" s="100">
        <f t="shared" si="21"/>
        <v>7.5468774614821047E-3</v>
      </c>
      <c r="Y44" s="221">
        <f t="shared" si="12"/>
        <v>2398.0247153852197</v>
      </c>
      <c r="Z44" s="221">
        <f>C44*Allocations!$B$11</f>
        <v>270160.17287127802</v>
      </c>
      <c r="AA44" s="229">
        <f t="shared" si="13"/>
        <v>131251.82729598912</v>
      </c>
      <c r="AB44" s="101">
        <f t="shared" si="14"/>
        <v>264255.83483582485</v>
      </c>
      <c r="AC44" s="102"/>
      <c r="AD44" s="103"/>
      <c r="AE44" s="104"/>
      <c r="AF44" s="105"/>
      <c r="AG44" s="106"/>
      <c r="AH44" s="107"/>
      <c r="AI44" s="106"/>
      <c r="AJ44" s="107"/>
      <c r="AK44" s="106"/>
      <c r="AL44" s="107"/>
      <c r="AM44" s="106"/>
      <c r="AN44" s="107"/>
      <c r="AO44" s="106"/>
      <c r="AP44" s="107"/>
      <c r="AQ44" s="203"/>
      <c r="AR44" s="204"/>
      <c r="AS44" s="106"/>
      <c r="AT44" s="107"/>
      <c r="AU44" s="108"/>
      <c r="AV44" s="109"/>
      <c r="AW44" s="106"/>
      <c r="AX44" s="107"/>
      <c r="AY44" s="110"/>
      <c r="AZ44" s="111"/>
      <c r="BA44" s="112"/>
    </row>
    <row r="45" spans="1:54" ht="12.75">
      <c r="A45" s="113" t="s">
        <v>42</v>
      </c>
      <c r="B45" s="57">
        <v>41</v>
      </c>
      <c r="C45" s="58">
        <v>6.6171520084725355E-3</v>
      </c>
      <c r="D45" s="121">
        <v>247193.34966593355</v>
      </c>
      <c r="E45" s="228">
        <v>249601.53694481283</v>
      </c>
      <c r="F45" s="9">
        <f>C45*Allocations!$B$6</f>
        <v>243966.45396997221</v>
      </c>
      <c r="G45" s="9">
        <f>C45*Allocations!$B$12</f>
        <v>115820.01160429476</v>
      </c>
      <c r="H45" s="11">
        <f t="shared" si="15"/>
        <v>740761.34058071859</v>
      </c>
      <c r="I45" s="15">
        <f t="shared" si="8"/>
        <v>856581.35218501335</v>
      </c>
      <c r="J45" s="59">
        <f t="shared" si="16"/>
        <v>246920.44686023952</v>
      </c>
      <c r="K45" s="60">
        <v>-1250420.6956663262</v>
      </c>
      <c r="L45" s="61">
        <f t="shared" si="9"/>
        <v>-890634.23009205924</v>
      </c>
      <c r="M45" s="11">
        <f t="shared" si="17"/>
        <v>374869.85</v>
      </c>
      <c r="N45" s="11">
        <f t="shared" si="18"/>
        <v>374869.85</v>
      </c>
      <c r="O45" s="62">
        <f t="shared" si="10"/>
        <v>-1265504.0800920592</v>
      </c>
      <c r="P45" s="80">
        <f t="shared" si="19"/>
        <v>-5.1251489950864721</v>
      </c>
      <c r="Q45" s="226">
        <f t="shared" si="20"/>
        <v>198294.64372777403</v>
      </c>
      <c r="R45" s="223"/>
      <c r="S45" s="122"/>
      <c r="T45" s="122"/>
      <c r="U45" s="122"/>
      <c r="V45" s="65">
        <f t="shared" si="6"/>
        <v>0</v>
      </c>
      <c r="W45" s="121">
        <f t="shared" si="11"/>
        <v>243966.45396997221</v>
      </c>
      <c r="X45" s="66">
        <f t="shared" si="21"/>
        <v>6.6595601232574885E-3</v>
      </c>
      <c r="Y45" s="121">
        <f t="shared" si="12"/>
        <v>2116.0791136032367</v>
      </c>
      <c r="Z45" s="121">
        <f>C45*Allocations!$B$11</f>
        <v>238396.33322899934</v>
      </c>
      <c r="AA45" s="228">
        <f t="shared" si="13"/>
        <v>115820.01160429476</v>
      </c>
      <c r="AB45" s="67">
        <f t="shared" si="14"/>
        <v>-1268958.1217194288</v>
      </c>
      <c r="AC45" s="81"/>
      <c r="AD45" s="82"/>
      <c r="AE45" s="83"/>
      <c r="AF45" s="84"/>
      <c r="AG45" s="72"/>
      <c r="AH45" s="73"/>
      <c r="AI45" s="72"/>
      <c r="AJ45" s="73"/>
      <c r="AK45" s="72"/>
      <c r="AL45" s="73"/>
      <c r="AM45" s="188">
        <v>374869.85</v>
      </c>
      <c r="AN45" s="59">
        <v>374869.85</v>
      </c>
      <c r="AO45" s="72"/>
      <c r="AP45" s="73"/>
      <c r="AQ45" s="200"/>
      <c r="AR45" s="202"/>
      <c r="AS45" s="72"/>
      <c r="AT45" s="73"/>
      <c r="AU45" s="75"/>
      <c r="AV45" s="76"/>
      <c r="AW45" s="72"/>
      <c r="AX45" s="73"/>
      <c r="AY45" s="77"/>
      <c r="AZ45" s="78"/>
      <c r="BA45" s="79"/>
    </row>
    <row r="46" spans="1:54" ht="12.75">
      <c r="A46" s="113" t="s">
        <v>43</v>
      </c>
      <c r="B46" s="57">
        <v>42</v>
      </c>
      <c r="C46" s="58">
        <v>1.2371736184700754E-2</v>
      </c>
      <c r="D46" s="121">
        <v>377825.32437881228</v>
      </c>
      <c r="E46" s="228">
        <v>436487.09423928952</v>
      </c>
      <c r="F46" s="9">
        <f>C46*Allocations!$B$6</f>
        <v>456131.06704649515</v>
      </c>
      <c r="G46" s="9">
        <f>C46*Allocations!$B$12</f>
        <v>216542.49844081726</v>
      </c>
      <c r="H46" s="11">
        <f t="shared" si="15"/>
        <v>1270443.485664597</v>
      </c>
      <c r="I46" s="15">
        <f t="shared" si="8"/>
        <v>1486985.9841054142</v>
      </c>
      <c r="J46" s="59">
        <f t="shared" si="16"/>
        <v>423481.16188819899</v>
      </c>
      <c r="K46" s="60">
        <v>-288052.84091811802</v>
      </c>
      <c r="L46" s="61">
        <f t="shared" si="9"/>
        <v>384620.72456919437</v>
      </c>
      <c r="M46" s="11">
        <f t="shared" si="17"/>
        <v>557106.05000000005</v>
      </c>
      <c r="N46" s="11">
        <f t="shared" si="18"/>
        <v>557106.05000000005</v>
      </c>
      <c r="O46" s="62">
        <f t="shared" si="10"/>
        <v>-172485.32543080568</v>
      </c>
      <c r="P46" s="80">
        <f t="shared" si="19"/>
        <v>-0.40730341973592349</v>
      </c>
      <c r="Q46" s="226">
        <f t="shared" si="20"/>
        <v>2564301.0768481651</v>
      </c>
      <c r="R46" s="223">
        <v>569928.39</v>
      </c>
      <c r="S46" s="122">
        <v>569928.39</v>
      </c>
      <c r="T46" s="122"/>
      <c r="U46" s="122"/>
      <c r="V46" s="65">
        <f t="shared" si="6"/>
        <v>0</v>
      </c>
      <c r="W46" s="121">
        <f t="shared" si="11"/>
        <v>456131.06704649515</v>
      </c>
      <c r="X46" s="66">
        <f t="shared" si="21"/>
        <v>1.2451024375079058E-2</v>
      </c>
      <c r="Y46" s="121">
        <f t="shared" si="12"/>
        <v>3956.3202577082402</v>
      </c>
      <c r="Z46" s="121">
        <f>C46*Allocations!$B$11</f>
        <v>445716.90937926737</v>
      </c>
      <c r="AA46" s="228">
        <f t="shared" si="13"/>
        <v>216542.49844081726</v>
      </c>
      <c r="AB46" s="67">
        <f t="shared" si="14"/>
        <v>-178943.16284032524</v>
      </c>
      <c r="AC46" s="81"/>
      <c r="AD46" s="82"/>
      <c r="AE46" s="83"/>
      <c r="AF46" s="84"/>
      <c r="AG46" s="72"/>
      <c r="AH46" s="73"/>
      <c r="AI46" s="72"/>
      <c r="AJ46" s="73"/>
      <c r="AK46" s="72"/>
      <c r="AL46" s="73"/>
      <c r="AM46" s="72"/>
      <c r="AN46" s="73"/>
      <c r="AO46" s="72"/>
      <c r="AP46" s="73"/>
      <c r="AQ46" s="200"/>
      <c r="AR46" s="202"/>
      <c r="AS46" s="72"/>
      <c r="AT46" s="73"/>
      <c r="AU46" s="75"/>
      <c r="AV46" s="76"/>
      <c r="AW46" s="72"/>
      <c r="AX46" s="73"/>
      <c r="AY46" s="77">
        <v>557106.05000000005</v>
      </c>
      <c r="AZ46" s="78">
        <v>557106.05000000005</v>
      </c>
      <c r="BA46" s="79"/>
    </row>
    <row r="47" spans="1:54" ht="12.75">
      <c r="A47" s="113" t="s">
        <v>44</v>
      </c>
      <c r="B47" s="57">
        <v>43</v>
      </c>
      <c r="C47" s="58">
        <v>1.1423615226632574E-2</v>
      </c>
      <c r="D47" s="121">
        <v>441300.6001722042</v>
      </c>
      <c r="E47" s="228">
        <v>433949.29650402942</v>
      </c>
      <c r="F47" s="9">
        <f>C47*Allocations!$B$6</f>
        <v>421174.98506767105</v>
      </c>
      <c r="G47" s="9">
        <f>C47*Allocations!$B$12</f>
        <v>199947.53731174988</v>
      </c>
      <c r="H47" s="11">
        <f t="shared" si="15"/>
        <v>1296424.8817439047</v>
      </c>
      <c r="I47" s="15">
        <f t="shared" si="8"/>
        <v>1496372.4190556547</v>
      </c>
      <c r="J47" s="59">
        <f t="shared" si="16"/>
        <v>432141.62724796822</v>
      </c>
      <c r="K47" s="60">
        <v>1127638.7825143647</v>
      </c>
      <c r="L47" s="61">
        <f t="shared" si="9"/>
        <v>1748761.3048937856</v>
      </c>
      <c r="M47" s="11">
        <f t="shared" si="17"/>
        <v>0</v>
      </c>
      <c r="N47" s="11">
        <f t="shared" si="18"/>
        <v>0</v>
      </c>
      <c r="O47" s="62">
        <f t="shared" si="10"/>
        <v>1748761.3048937856</v>
      </c>
      <c r="P47" s="80">
        <f t="shared" si="19"/>
        <v>4.0467318921125939</v>
      </c>
      <c r="Q47" s="226">
        <f t="shared" si="20"/>
        <v>4275811.2152998112</v>
      </c>
      <c r="R47" s="223"/>
      <c r="S47" s="122"/>
      <c r="T47" s="122"/>
      <c r="U47" s="122"/>
      <c r="V47" s="219">
        <v>0</v>
      </c>
      <c r="W47" s="121">
        <f t="shared" si="11"/>
        <v>421174.98506767105</v>
      </c>
      <c r="X47" s="66">
        <f t="shared" si="21"/>
        <v>1.1496827083511468E-2</v>
      </c>
      <c r="Y47" s="121">
        <f t="shared" si="12"/>
        <v>3653.1235117412866</v>
      </c>
      <c r="Z47" s="121">
        <f>C47*Allocations!$B$11</f>
        <v>411558.92727886897</v>
      </c>
      <c r="AA47" s="228">
        <f t="shared" si="13"/>
        <v>199947.53731174988</v>
      </c>
      <c r="AB47" s="67">
        <f t="shared" si="14"/>
        <v>1742798.3706167247</v>
      </c>
      <c r="AC47" s="81"/>
      <c r="AD47" s="82"/>
      <c r="AE47" s="83"/>
      <c r="AF47" s="84"/>
      <c r="AG47" s="72"/>
      <c r="AH47" s="73"/>
      <c r="AI47" s="72"/>
      <c r="AJ47" s="73"/>
      <c r="AK47" s="72"/>
      <c r="AL47" s="73"/>
      <c r="AM47" s="72"/>
      <c r="AN47" s="73"/>
      <c r="AO47" s="72"/>
      <c r="AP47" s="73"/>
      <c r="AQ47" s="200"/>
      <c r="AR47" s="202"/>
      <c r="AS47" s="72"/>
      <c r="AT47" s="73"/>
      <c r="AU47" s="75"/>
      <c r="AV47" s="76"/>
      <c r="AW47" s="72"/>
      <c r="AX47" s="73"/>
      <c r="AY47" s="77"/>
      <c r="AZ47" s="78"/>
      <c r="BA47" s="79"/>
      <c r="BB47" s="218" t="s">
        <v>149</v>
      </c>
    </row>
    <row r="48" spans="1:54" ht="12.75">
      <c r="A48" s="113" t="s">
        <v>45</v>
      </c>
      <c r="B48" s="57">
        <v>44</v>
      </c>
      <c r="C48" s="58">
        <v>6.8542459048811953E-3</v>
      </c>
      <c r="D48" s="121">
        <v>211739.87648399535</v>
      </c>
      <c r="E48" s="228">
        <v>247254.43412943411</v>
      </c>
      <c r="F48" s="9">
        <f>C48*Allocations!$B$6</f>
        <v>252707.82141788382</v>
      </c>
      <c r="G48" s="9">
        <f>C48*Allocations!$B$12</f>
        <v>119969.86607313553</v>
      </c>
      <c r="H48" s="11">
        <f t="shared" si="15"/>
        <v>711702.13203131326</v>
      </c>
      <c r="I48" s="15">
        <f t="shared" si="8"/>
        <v>831671.99810444878</v>
      </c>
      <c r="J48" s="59">
        <f t="shared" si="16"/>
        <v>237234.04401043776</v>
      </c>
      <c r="K48" s="60">
        <v>-994998.49711786443</v>
      </c>
      <c r="L48" s="61">
        <f t="shared" si="9"/>
        <v>-622320.80962684506</v>
      </c>
      <c r="M48" s="11">
        <f t="shared" si="17"/>
        <v>320390.63</v>
      </c>
      <c r="N48" s="11">
        <f t="shared" si="18"/>
        <v>320390.63</v>
      </c>
      <c r="O48" s="62">
        <f t="shared" si="10"/>
        <v>-942711.43962684507</v>
      </c>
      <c r="P48" s="80">
        <f t="shared" si="19"/>
        <v>-3.9737612009234553</v>
      </c>
      <c r="Q48" s="226">
        <f t="shared" si="20"/>
        <v>573535.48888045782</v>
      </c>
      <c r="R48" s="223"/>
      <c r="S48" s="122"/>
      <c r="T48" s="122"/>
      <c r="U48" s="122"/>
      <c r="V48" s="65">
        <f t="shared" si="6"/>
        <v>0</v>
      </c>
      <c r="W48" s="121">
        <f t="shared" si="11"/>
        <v>252707.82141788382</v>
      </c>
      <c r="X48" s="66">
        <f t="shared" si="21"/>
        <v>6.8981735110063567E-3</v>
      </c>
      <c r="Y48" s="121">
        <f t="shared" si="12"/>
        <v>2191.8986567406459</v>
      </c>
      <c r="Z48" s="121">
        <f>C48*Allocations!$B$11</f>
        <v>246938.12212283618</v>
      </c>
      <c r="AA48" s="228">
        <f t="shared" si="13"/>
        <v>119969.86607313553</v>
      </c>
      <c r="AB48" s="67">
        <f t="shared" si="14"/>
        <v>-946289.24026515218</v>
      </c>
      <c r="AC48" s="81"/>
      <c r="AD48" s="82"/>
      <c r="AE48" s="83"/>
      <c r="AF48" s="84"/>
      <c r="AG48" s="72"/>
      <c r="AH48" s="73"/>
      <c r="AI48" s="72"/>
      <c r="AJ48" s="73"/>
      <c r="AK48" s="72"/>
      <c r="AL48" s="73"/>
      <c r="AM48" s="72"/>
      <c r="AN48" s="73"/>
      <c r="AO48" s="188">
        <f>640781.26/2</f>
        <v>320390.63</v>
      </c>
      <c r="AP48" s="198">
        <f>AO48</f>
        <v>320390.63</v>
      </c>
      <c r="AQ48" s="200"/>
      <c r="AR48" s="202"/>
      <c r="AS48" s="72"/>
      <c r="AT48" s="73"/>
      <c r="AU48" s="75"/>
      <c r="AV48" s="76"/>
      <c r="AW48" s="72"/>
      <c r="AX48" s="73"/>
      <c r="AY48" s="77"/>
      <c r="AZ48" s="78"/>
      <c r="BA48" s="79"/>
      <c r="BB48" s="199" t="s">
        <v>143</v>
      </c>
    </row>
    <row r="49" spans="1:54" ht="12.75">
      <c r="A49" s="91" t="s">
        <v>46</v>
      </c>
      <c r="B49" s="92">
        <v>45</v>
      </c>
      <c r="C49" s="93">
        <v>9.0801557654916244E-3</v>
      </c>
      <c r="D49" s="221">
        <v>292914.01605778467</v>
      </c>
      <c r="E49" s="229">
        <v>330026.57755886379</v>
      </c>
      <c r="F49" s="10">
        <f>C49*Allocations!$B$6</f>
        <v>334774.44688675762</v>
      </c>
      <c r="G49" s="10">
        <f>C49*Allocations!$B$12</f>
        <v>158929.96636339987</v>
      </c>
      <c r="H49" s="12">
        <f t="shared" si="15"/>
        <v>957715.04050340608</v>
      </c>
      <c r="I49" s="16">
        <f t="shared" si="8"/>
        <v>1116645.006866806</v>
      </c>
      <c r="J49" s="94">
        <f t="shared" si="16"/>
        <v>319238.34683446871</v>
      </c>
      <c r="K49" s="95">
        <v>648879.17181986081</v>
      </c>
      <c r="L49" s="96">
        <f t="shared" si="9"/>
        <v>1142583.5850700182</v>
      </c>
      <c r="M49" s="12">
        <f t="shared" si="17"/>
        <v>627042.4</v>
      </c>
      <c r="N49" s="12">
        <f t="shared" si="18"/>
        <v>627042.4</v>
      </c>
      <c r="O49" s="97">
        <f t="shared" si="10"/>
        <v>515541.18507001817</v>
      </c>
      <c r="P49" s="98">
        <f t="shared" si="19"/>
        <v>1.6149099573471237</v>
      </c>
      <c r="Q49" s="227">
        <f t="shared" si="20"/>
        <v>2524187.866390564</v>
      </c>
      <c r="R49" s="224"/>
      <c r="S49" s="222"/>
      <c r="T49" s="222"/>
      <c r="U49" s="222"/>
      <c r="V49" s="99">
        <f t="shared" si="6"/>
        <v>0</v>
      </c>
      <c r="W49" s="221">
        <f t="shared" si="11"/>
        <v>334774.44688675762</v>
      </c>
      <c r="X49" s="100">
        <f t="shared" si="21"/>
        <v>9.1383488200678514E-3</v>
      </c>
      <c r="Y49" s="221">
        <f t="shared" si="12"/>
        <v>2903.7156678611896</v>
      </c>
      <c r="Z49" s="221">
        <f>C49*Allocations!$B$11</f>
        <v>327131.04321462341</v>
      </c>
      <c r="AA49" s="229">
        <f t="shared" si="13"/>
        <v>158929.96636339987</v>
      </c>
      <c r="AB49" s="101">
        <f t="shared" si="14"/>
        <v>510801.49706574524</v>
      </c>
      <c r="AC49" s="102"/>
      <c r="AD49" s="103"/>
      <c r="AE49" s="104"/>
      <c r="AF49" s="105"/>
      <c r="AG49" s="106"/>
      <c r="AH49" s="107"/>
      <c r="AI49" s="106"/>
      <c r="AJ49" s="107"/>
      <c r="AK49" s="106"/>
      <c r="AL49" s="107"/>
      <c r="AM49" s="187">
        <f>267343+359699.4</f>
        <v>627042.4</v>
      </c>
      <c r="AN49" s="107">
        <f>267343+359699.4</f>
        <v>627042.4</v>
      </c>
      <c r="AO49" s="106"/>
      <c r="AP49" s="107"/>
      <c r="AQ49" s="203"/>
      <c r="AR49" s="204"/>
      <c r="AS49" s="106"/>
      <c r="AT49" s="107"/>
      <c r="AU49" s="108"/>
      <c r="AV49" s="109"/>
      <c r="AW49" s="106"/>
      <c r="AX49" s="107"/>
      <c r="AY49" s="110"/>
      <c r="AZ49" s="111"/>
      <c r="BA49" s="112"/>
    </row>
    <row r="50" spans="1:54" ht="12.75">
      <c r="A50" s="113" t="s">
        <v>47</v>
      </c>
      <c r="B50" s="57">
        <v>46</v>
      </c>
      <c r="C50" s="58">
        <v>3.8354937024799628E-3</v>
      </c>
      <c r="D50" s="121">
        <v>141078.64288289097</v>
      </c>
      <c r="E50" s="228">
        <v>141590.90458895714</v>
      </c>
      <c r="F50" s="9">
        <f>C50*Allocations!$B$6</f>
        <v>141410.05021799327</v>
      </c>
      <c r="G50" s="9">
        <f>C50*Allocations!$B$12</f>
        <v>67132.646274506769</v>
      </c>
      <c r="H50" s="11">
        <f t="shared" si="15"/>
        <v>424079.59768984135</v>
      </c>
      <c r="I50" s="15">
        <f t="shared" si="8"/>
        <v>491212.2439643481</v>
      </c>
      <c r="J50" s="59">
        <f t="shared" si="16"/>
        <v>141359.86589661377</v>
      </c>
      <c r="K50" s="60">
        <v>338383.70585399936</v>
      </c>
      <c r="L50" s="61">
        <f t="shared" si="9"/>
        <v>546926.40234649938</v>
      </c>
      <c r="M50" s="11">
        <f t="shared" si="17"/>
        <v>393213.65</v>
      </c>
      <c r="N50" s="11">
        <f t="shared" si="18"/>
        <v>393213.65</v>
      </c>
      <c r="O50" s="62">
        <f t="shared" si="10"/>
        <v>153712.75234649936</v>
      </c>
      <c r="P50" s="80">
        <f t="shared" si="19"/>
        <v>1.087386093439846</v>
      </c>
      <c r="Q50" s="226">
        <f t="shared" si="20"/>
        <v>1002173.053654459</v>
      </c>
      <c r="R50" s="223"/>
      <c r="S50" s="122"/>
      <c r="T50" s="122"/>
      <c r="U50" s="122"/>
      <c r="V50" s="65">
        <f t="shared" si="6"/>
        <v>0</v>
      </c>
      <c r="W50" s="121">
        <f t="shared" si="11"/>
        <v>141410.05021799327</v>
      </c>
      <c r="X50" s="66">
        <f t="shared" si="21"/>
        <v>3.8600746788552184E-3</v>
      </c>
      <c r="Y50" s="121">
        <f t="shared" si="12"/>
        <v>1226.5409807395515</v>
      </c>
      <c r="Z50" s="121">
        <f>C50*Allocations!$B$11</f>
        <v>138181.44628132987</v>
      </c>
      <c r="AA50" s="228">
        <f t="shared" si="13"/>
        <v>67132.646274506769</v>
      </c>
      <c r="AB50" s="67">
        <f t="shared" si="14"/>
        <v>151710.68939057551</v>
      </c>
      <c r="AC50" s="81"/>
      <c r="AD50" s="82"/>
      <c r="AE50" s="83"/>
      <c r="AF50" s="84"/>
      <c r="AG50" s="72"/>
      <c r="AH50" s="73"/>
      <c r="AI50" s="188">
        <v>393213.65</v>
      </c>
      <c r="AJ50" s="59">
        <v>393213.65</v>
      </c>
      <c r="AK50" s="72"/>
      <c r="AL50" s="73"/>
      <c r="AM50" s="72"/>
      <c r="AN50" s="73"/>
      <c r="AO50" s="72"/>
      <c r="AP50" s="73"/>
      <c r="AQ50" s="200"/>
      <c r="AR50" s="202"/>
      <c r="AS50" s="72"/>
      <c r="AT50" s="73"/>
      <c r="AU50" s="75"/>
      <c r="AV50" s="76"/>
      <c r="AW50" s="72"/>
      <c r="AX50" s="73"/>
      <c r="AY50" s="77"/>
      <c r="AZ50" s="78"/>
      <c r="BA50" s="79"/>
    </row>
    <row r="51" spans="1:54" ht="12.75">
      <c r="A51" s="113" t="s">
        <v>48</v>
      </c>
      <c r="B51" s="57">
        <v>47</v>
      </c>
      <c r="C51" s="58">
        <v>4.8160711313287238E-3</v>
      </c>
      <c r="D51" s="121">
        <v>159014.96491403156</v>
      </c>
      <c r="E51" s="228">
        <v>176833.40619701767</v>
      </c>
      <c r="F51" s="9">
        <f>C51*Allocations!$B$6</f>
        <v>177562.76332673244</v>
      </c>
      <c r="G51" s="9">
        <f>C51*Allocations!$B$12</f>
        <v>84295.693011646639</v>
      </c>
      <c r="H51" s="11">
        <f t="shared" si="15"/>
        <v>513411.13443778164</v>
      </c>
      <c r="I51" s="15">
        <f t="shared" si="8"/>
        <v>597706.82744942827</v>
      </c>
      <c r="J51" s="59">
        <f t="shared" si="16"/>
        <v>171137.04481259387</v>
      </c>
      <c r="K51" s="60">
        <v>186710.50978270601</v>
      </c>
      <c r="L51" s="61">
        <f t="shared" si="9"/>
        <v>448568.9661210851</v>
      </c>
      <c r="M51" s="11">
        <f t="shared" si="17"/>
        <v>1334196.3899999999</v>
      </c>
      <c r="N51" s="11">
        <f t="shared" si="18"/>
        <v>1334196.3899999999</v>
      </c>
      <c r="O51" s="62">
        <f t="shared" si="10"/>
        <v>-885627.42387891479</v>
      </c>
      <c r="P51" s="80">
        <f t="shared" si="19"/>
        <v>-5.174960364944563</v>
      </c>
      <c r="Q51" s="226">
        <f t="shared" si="20"/>
        <v>179749.15608147986</v>
      </c>
      <c r="R51" s="223"/>
      <c r="S51" s="122"/>
      <c r="T51" s="122"/>
      <c r="U51" s="122"/>
      <c r="V51" s="65">
        <f t="shared" si="6"/>
        <v>0</v>
      </c>
      <c r="W51" s="121">
        <f t="shared" si="11"/>
        <v>177562.76332673244</v>
      </c>
      <c r="X51" s="66">
        <f t="shared" si="21"/>
        <v>4.8469364487777377E-3</v>
      </c>
      <c r="Y51" s="121">
        <f t="shared" si="12"/>
        <v>1540.1168837565658</v>
      </c>
      <c r="Z51" s="121">
        <f>C51*Allocations!$B$11</f>
        <v>173508.73862482642</v>
      </c>
      <c r="AA51" s="228">
        <f t="shared" si="13"/>
        <v>84295.693011646639</v>
      </c>
      <c r="AB51" s="67">
        <f t="shared" si="14"/>
        <v>-888141.33169706434</v>
      </c>
      <c r="AC51" s="81"/>
      <c r="AD51" s="82"/>
      <c r="AE51" s="83"/>
      <c r="AF51" s="84"/>
      <c r="AG51" s="72">
        <v>356465.93</v>
      </c>
      <c r="AH51" s="73">
        <v>356465.93</v>
      </c>
      <c r="AI51" s="72"/>
      <c r="AJ51" s="73"/>
      <c r="AK51" s="72"/>
      <c r="AL51" s="73"/>
      <c r="AM51" s="188">
        <f>691772.2+285958.26</f>
        <v>977730.46</v>
      </c>
      <c r="AN51" s="73">
        <f>691772.2+285958.26</f>
        <v>977730.46</v>
      </c>
      <c r="AO51" s="72"/>
      <c r="AP51" s="73"/>
      <c r="AQ51" s="200"/>
      <c r="AR51" s="202"/>
      <c r="AS51" s="72"/>
      <c r="AT51" s="73"/>
      <c r="AU51" s="75"/>
      <c r="AV51" s="76"/>
      <c r="AW51" s="72"/>
      <c r="AX51" s="73"/>
      <c r="AY51" s="77"/>
      <c r="AZ51" s="78"/>
      <c r="BA51" s="79"/>
    </row>
    <row r="52" spans="1:54" ht="12.75">
      <c r="A52" s="113" t="s">
        <v>49</v>
      </c>
      <c r="B52" s="57">
        <v>48</v>
      </c>
      <c r="C52" s="58">
        <v>1.3832173790156293E-2</v>
      </c>
      <c r="D52" s="121">
        <v>471095.86141090834</v>
      </c>
      <c r="E52" s="228">
        <v>456554.81584145641</v>
      </c>
      <c r="F52" s="9">
        <f>C52*Allocations!$B$6</f>
        <v>509975.64903451432</v>
      </c>
      <c r="G52" s="9">
        <f>C52*Allocations!$B$12</f>
        <v>242104.53784910555</v>
      </c>
      <c r="H52" s="11">
        <f t="shared" si="15"/>
        <v>1437626.3262868791</v>
      </c>
      <c r="I52" s="15">
        <f t="shared" si="8"/>
        <v>1679730.8641359848</v>
      </c>
      <c r="J52" s="59">
        <f t="shared" si="16"/>
        <v>479208.77542895969</v>
      </c>
      <c r="K52" s="60">
        <v>-150478.66112563352</v>
      </c>
      <c r="L52" s="61">
        <f t="shared" si="9"/>
        <v>601601.52575798635</v>
      </c>
      <c r="M52" s="11">
        <f t="shared" si="17"/>
        <v>370916</v>
      </c>
      <c r="N52" s="11">
        <f t="shared" si="18"/>
        <v>370916</v>
      </c>
      <c r="O52" s="62">
        <f t="shared" si="10"/>
        <v>230685.52575798635</v>
      </c>
      <c r="P52" s="80">
        <f t="shared" si="19"/>
        <v>0.48138835844875788</v>
      </c>
      <c r="Q52" s="226">
        <f t="shared" si="20"/>
        <v>3290539.4199650725</v>
      </c>
      <c r="R52" s="223"/>
      <c r="S52" s="122"/>
      <c r="T52" s="122"/>
      <c r="U52" s="122"/>
      <c r="V52" s="65">
        <f t="shared" si="6"/>
        <v>0</v>
      </c>
      <c r="W52" s="121">
        <f t="shared" si="11"/>
        <v>509975.64903451432</v>
      </c>
      <c r="X52" s="66">
        <f t="shared" si="21"/>
        <v>1.3920821657557148E-2</v>
      </c>
      <c r="Y52" s="121">
        <f t="shared" si="12"/>
        <v>4423.3492015300344</v>
      </c>
      <c r="Z52" s="121">
        <f>C52*Allocations!$B$11</f>
        <v>498332.13865079626</v>
      </c>
      <c r="AA52" s="228">
        <f t="shared" si="13"/>
        <v>242104.53784910555</v>
      </c>
      <c r="AB52" s="67">
        <f t="shared" si="14"/>
        <v>223465.36457579833</v>
      </c>
      <c r="AC52" s="81"/>
      <c r="AD52" s="82"/>
      <c r="AE52" s="83"/>
      <c r="AF52" s="84"/>
      <c r="AG52" s="72">
        <v>370916</v>
      </c>
      <c r="AH52" s="73">
        <v>370916</v>
      </c>
      <c r="AI52" s="72"/>
      <c r="AJ52" s="73"/>
      <c r="AK52" s="72"/>
      <c r="AL52" s="73"/>
      <c r="AM52" s="72"/>
      <c r="AN52" s="73"/>
      <c r="AO52" s="72"/>
      <c r="AP52" s="73"/>
      <c r="AQ52" s="200"/>
      <c r="AR52" s="202"/>
      <c r="AS52" s="72"/>
      <c r="AT52" s="73"/>
      <c r="AU52" s="75"/>
      <c r="AV52" s="76"/>
      <c r="AW52" s="72"/>
      <c r="AX52" s="73"/>
      <c r="AY52" s="77"/>
      <c r="AZ52" s="78"/>
      <c r="BA52" s="79"/>
    </row>
    <row r="53" spans="1:54" ht="12.75">
      <c r="A53" s="113" t="s">
        <v>50</v>
      </c>
      <c r="B53" s="57">
        <v>49</v>
      </c>
      <c r="C53" s="58">
        <v>1.2977209633963028E-2</v>
      </c>
      <c r="D53" s="121">
        <v>384591.70341178164</v>
      </c>
      <c r="E53" s="228">
        <v>451254.49703492841</v>
      </c>
      <c r="F53" s="9">
        <f>C53*Allocations!$B$6</f>
        <v>478454.14655265608</v>
      </c>
      <c r="G53" s="9">
        <f>C53*Allocations!$B$12</f>
        <v>227140.10022325482</v>
      </c>
      <c r="H53" s="11">
        <f t="shared" si="15"/>
        <v>1314300.3469993661</v>
      </c>
      <c r="I53" s="15">
        <f t="shared" si="8"/>
        <v>1541440.4472226209</v>
      </c>
      <c r="J53" s="59">
        <f t="shared" si="16"/>
        <v>438100.11566645536</v>
      </c>
      <c r="K53" s="60">
        <v>-1594280.0429819818</v>
      </c>
      <c r="L53" s="61">
        <f t="shared" si="9"/>
        <v>-888685.79620607081</v>
      </c>
      <c r="M53" s="11">
        <f t="shared" si="17"/>
        <v>604723.48</v>
      </c>
      <c r="N53" s="11">
        <f t="shared" si="18"/>
        <v>399898.48</v>
      </c>
      <c r="O53" s="62">
        <f t="shared" si="10"/>
        <v>-1288584.2762060708</v>
      </c>
      <c r="P53" s="80">
        <f t="shared" si="19"/>
        <v>-2.9413009267204258</v>
      </c>
      <c r="Q53" s="226">
        <f t="shared" si="20"/>
        <v>1582140.6031098657</v>
      </c>
      <c r="R53" s="223"/>
      <c r="S53" s="122"/>
      <c r="T53" s="122"/>
      <c r="U53" s="122"/>
      <c r="V53" s="65">
        <f t="shared" si="6"/>
        <v>0</v>
      </c>
      <c r="W53" s="121">
        <f t="shared" si="11"/>
        <v>478454.14655265608</v>
      </c>
      <c r="X53" s="66">
        <f t="shared" si="21"/>
        <v>1.3060378192738897E-2</v>
      </c>
      <c r="Y53" s="121">
        <f t="shared" si="12"/>
        <v>4149.9427886981184</v>
      </c>
      <c r="Z53" s="121">
        <f>C53*Allocations!$B$11</f>
        <v>467530.31943646807</v>
      </c>
      <c r="AA53" s="228">
        <f t="shared" si="13"/>
        <v>227140.10022325482</v>
      </c>
      <c r="AB53" s="67">
        <f t="shared" si="14"/>
        <v>-1295358.1605335609</v>
      </c>
      <c r="AC53" s="81"/>
      <c r="AD53" s="82"/>
      <c r="AE53" s="83"/>
      <c r="AF53" s="84"/>
      <c r="AG53" s="72">
        <v>327863.76</v>
      </c>
      <c r="AH53" s="73">
        <v>327863.76</v>
      </c>
      <c r="AI53" s="72"/>
      <c r="AJ53" s="73"/>
      <c r="AK53" s="72"/>
      <c r="AL53" s="73"/>
      <c r="AM53" s="188">
        <v>276859.71999999997</v>
      </c>
      <c r="AN53" s="59">
        <v>72034.720000000001</v>
      </c>
      <c r="AO53" s="72"/>
      <c r="AP53" s="73"/>
      <c r="AQ53" s="200"/>
      <c r="AR53" s="202"/>
      <c r="AS53" s="72"/>
      <c r="AT53" s="73"/>
      <c r="AU53" s="75"/>
      <c r="AV53" s="76"/>
      <c r="AW53" s="72"/>
      <c r="AX53" s="73"/>
      <c r="AY53" s="77"/>
      <c r="AZ53" s="78"/>
      <c r="BA53" s="79"/>
    </row>
    <row r="54" spans="1:54" ht="12.75">
      <c r="A54" s="91" t="s">
        <v>51</v>
      </c>
      <c r="B54" s="92">
        <v>50</v>
      </c>
      <c r="C54" s="93">
        <v>2.0746228600467428E-2</v>
      </c>
      <c r="D54" s="221">
        <v>688032.47857835656</v>
      </c>
      <c r="E54" s="229">
        <v>762981.04189768666</v>
      </c>
      <c r="F54" s="10">
        <f>C54*Allocations!$B$6</f>
        <v>764888.55302491353</v>
      </c>
      <c r="G54" s="10">
        <f>C54*Allocations!$B$12</f>
        <v>363121.23919398134</v>
      </c>
      <c r="H54" s="12">
        <f t="shared" si="15"/>
        <v>2215902.0735009569</v>
      </c>
      <c r="I54" s="16">
        <f t="shared" si="8"/>
        <v>2579023.3126949384</v>
      </c>
      <c r="J54" s="94">
        <f t="shared" si="16"/>
        <v>738634.02450031892</v>
      </c>
      <c r="K54" s="95">
        <v>296380.31673336582</v>
      </c>
      <c r="L54" s="96">
        <f t="shared" si="9"/>
        <v>1424390.1089522608</v>
      </c>
      <c r="M54" s="12">
        <f t="shared" si="17"/>
        <v>1544905.43</v>
      </c>
      <c r="N54" s="12">
        <f t="shared" si="18"/>
        <v>1544905.43</v>
      </c>
      <c r="O54" s="97">
        <f t="shared" si="10"/>
        <v>-120515.32104773913</v>
      </c>
      <c r="P54" s="98">
        <f t="shared" si="19"/>
        <v>-0.16315972057916903</v>
      </c>
      <c r="Q54" s="227">
        <f t="shared" si="20"/>
        <v>4468815.9971017418</v>
      </c>
      <c r="R54" s="224"/>
      <c r="S54" s="222"/>
      <c r="T54" s="222"/>
      <c r="U54" s="222"/>
      <c r="V54" s="99">
        <f t="shared" si="6"/>
        <v>0</v>
      </c>
      <c r="W54" s="221">
        <f t="shared" si="11"/>
        <v>764888.55302491353</v>
      </c>
      <c r="X54" s="100">
        <f t="shared" si="21"/>
        <v>2.0879187378309769E-2</v>
      </c>
      <c r="Y54" s="221">
        <f t="shared" si="12"/>
        <v>6634.3739680269191</v>
      </c>
      <c r="Z54" s="221">
        <f>C54*Allocations!$B$11</f>
        <v>747424.99799754412</v>
      </c>
      <c r="AA54" s="229">
        <f t="shared" si="13"/>
        <v>363121.23919398134</v>
      </c>
      <c r="AB54" s="101">
        <f t="shared" si="14"/>
        <v>-131344.50210708176</v>
      </c>
      <c r="AC54" s="102"/>
      <c r="AD54" s="103"/>
      <c r="AE54" s="104"/>
      <c r="AF54" s="105"/>
      <c r="AG54" s="106"/>
      <c r="AH54" s="107"/>
      <c r="AI54" s="106"/>
      <c r="AJ54" s="107"/>
      <c r="AK54" s="106"/>
      <c r="AL54" s="107"/>
      <c r="AM54" s="106"/>
      <c r="AN54" s="107"/>
      <c r="AO54" s="106"/>
      <c r="AP54" s="107"/>
      <c r="AQ54" s="208">
        <v>1544905.43</v>
      </c>
      <c r="AR54" s="209">
        <v>1544905.43</v>
      </c>
      <c r="AS54" s="106"/>
      <c r="AT54" s="107"/>
      <c r="AU54" s="108"/>
      <c r="AV54" s="109"/>
      <c r="AW54" s="106"/>
      <c r="AX54" s="107"/>
      <c r="AY54" s="110"/>
      <c r="AZ54" s="111"/>
      <c r="BA54" s="112"/>
    </row>
    <row r="55" spans="1:54" ht="12.75">
      <c r="A55" s="113" t="s">
        <v>52</v>
      </c>
      <c r="B55" s="57">
        <v>51</v>
      </c>
      <c r="C55" s="58">
        <v>9.3285269655616516E-3</v>
      </c>
      <c r="D55" s="121">
        <v>316751.42589009972</v>
      </c>
      <c r="E55" s="228">
        <v>320791.62988714629</v>
      </c>
      <c r="F55" s="9">
        <f>C55*Allocations!$B$6</f>
        <v>343931.59498789941</v>
      </c>
      <c r="G55" s="9">
        <f>C55*Allocations!$B$12</f>
        <v>163277.20747822555</v>
      </c>
      <c r="H55" s="11">
        <f t="shared" si="15"/>
        <v>981474.65076514543</v>
      </c>
      <c r="I55" s="15">
        <f t="shared" si="8"/>
        <v>1144751.8582433709</v>
      </c>
      <c r="J55" s="59">
        <f t="shared" si="16"/>
        <v>327158.21692171512</v>
      </c>
      <c r="K55" s="60">
        <v>21766.017233188322</v>
      </c>
      <c r="L55" s="61">
        <f t="shared" si="9"/>
        <v>528974.81969931326</v>
      </c>
      <c r="M55" s="11">
        <f t="shared" si="17"/>
        <v>706275.25</v>
      </c>
      <c r="N55" s="11">
        <f t="shared" si="18"/>
        <v>296625.25</v>
      </c>
      <c r="O55" s="62">
        <f t="shared" si="10"/>
        <v>232349.56969931326</v>
      </c>
      <c r="P55" s="80">
        <f t="shared" si="19"/>
        <v>0.7102055142784679</v>
      </c>
      <c r="Q55" s="226">
        <f t="shared" si="20"/>
        <v>2295939.1396267097</v>
      </c>
      <c r="R55" s="223">
        <v>409000.63</v>
      </c>
      <c r="S55" s="122">
        <v>135900.63</v>
      </c>
      <c r="T55" s="122"/>
      <c r="U55" s="122"/>
      <c r="V55" s="65">
        <f t="shared" si="6"/>
        <v>0</v>
      </c>
      <c r="W55" s="121">
        <f t="shared" si="11"/>
        <v>343931.59498789941</v>
      </c>
      <c r="X55" s="66">
        <f t="shared" si="21"/>
        <v>9.3883117856509504E-3</v>
      </c>
      <c r="Y55" s="121">
        <f t="shared" si="12"/>
        <v>2983.1415459754921</v>
      </c>
      <c r="Z55" s="121">
        <f>C55*Allocations!$B$11</f>
        <v>336079.11986460327</v>
      </c>
      <c r="AA55" s="228">
        <f t="shared" si="13"/>
        <v>163277.20747822555</v>
      </c>
      <c r="AB55" s="67">
        <f t="shared" si="14"/>
        <v>227480.23612199261</v>
      </c>
      <c r="AC55" s="81"/>
      <c r="AD55" s="82"/>
      <c r="AE55" s="83"/>
      <c r="AF55" s="84"/>
      <c r="AG55" s="72"/>
      <c r="AH55" s="73"/>
      <c r="AI55" s="72"/>
      <c r="AJ55" s="73"/>
      <c r="AK55" s="72"/>
      <c r="AL55" s="73"/>
      <c r="AM55" s="72"/>
      <c r="AN55" s="73"/>
      <c r="AO55" s="72"/>
      <c r="AP55" s="73"/>
      <c r="AQ55" s="200"/>
      <c r="AR55" s="202"/>
      <c r="AS55" s="72"/>
      <c r="AT55" s="73"/>
      <c r="AU55" s="75"/>
      <c r="AV55" s="76"/>
      <c r="AW55" s="72"/>
      <c r="AX55" s="73"/>
      <c r="AY55" s="77">
        <v>706275.25</v>
      </c>
      <c r="AZ55" s="78">
        <v>296625.25</v>
      </c>
      <c r="BA55" s="79"/>
    </row>
    <row r="56" spans="1:54" ht="12.75">
      <c r="A56" s="113" t="s">
        <v>53</v>
      </c>
      <c r="B56" s="57">
        <v>52</v>
      </c>
      <c r="C56" s="58">
        <v>9.0864065772195239E-3</v>
      </c>
      <c r="D56" s="121">
        <v>361344.83643843688</v>
      </c>
      <c r="E56" s="228">
        <v>332811.75475297216</v>
      </c>
      <c r="F56" s="9">
        <f>C56*Allocations!$B$6</f>
        <v>335004.9068141912</v>
      </c>
      <c r="G56" s="9">
        <f>C56*Allocations!$B$12</f>
        <v>159039.37432107329</v>
      </c>
      <c r="H56" s="11">
        <f t="shared" si="15"/>
        <v>1029161.4980056002</v>
      </c>
      <c r="I56" s="15">
        <f t="shared" si="8"/>
        <v>1188200.8723266735</v>
      </c>
      <c r="J56" s="59">
        <f t="shared" si="16"/>
        <v>343053.83266853337</v>
      </c>
      <c r="K56" s="60">
        <v>928235.71530863375</v>
      </c>
      <c r="L56" s="61">
        <f t="shared" si="9"/>
        <v>1422279.9964438982</v>
      </c>
      <c r="M56" s="11">
        <f t="shared" si="17"/>
        <v>1366861.89</v>
      </c>
      <c r="N56" s="11">
        <f t="shared" si="18"/>
        <v>1366861.89</v>
      </c>
      <c r="O56" s="62">
        <f t="shared" si="10"/>
        <v>55418.106443898287</v>
      </c>
      <c r="P56" s="80">
        <f t="shared" si="19"/>
        <v>0.16154346976045755</v>
      </c>
      <c r="Q56" s="226">
        <f t="shared" si="20"/>
        <v>2065447.5473290454</v>
      </c>
      <c r="R56" s="223">
        <v>599264.30000000005</v>
      </c>
      <c r="S56" s="122">
        <v>326164.3</v>
      </c>
      <c r="T56" s="122"/>
      <c r="U56" s="122"/>
      <c r="V56" s="65">
        <f t="shared" si="6"/>
        <v>0</v>
      </c>
      <c r="W56" s="121">
        <f t="shared" si="11"/>
        <v>335004.9068141912</v>
      </c>
      <c r="X56" s="66">
        <f t="shared" si="21"/>
        <v>9.1446396921028E-3</v>
      </c>
      <c r="Y56" s="11">
        <f t="shared" si="12"/>
        <v>2905.7145961196811</v>
      </c>
      <c r="Z56" s="121">
        <f>C56*Allocations!$B$11</f>
        <v>327356.24139561242</v>
      </c>
      <c r="AA56" s="228">
        <f t="shared" si="13"/>
        <v>159039.37432107329</v>
      </c>
      <c r="AB56" s="67">
        <f t="shared" si="14"/>
        <v>50675.155621439277</v>
      </c>
      <c r="AC56" s="81"/>
      <c r="AD56" s="82"/>
      <c r="AE56" s="115">
        <v>1366861.89</v>
      </c>
      <c r="AF56" s="59">
        <v>1366861.89</v>
      </c>
      <c r="AG56" s="72"/>
      <c r="AH56" s="73"/>
      <c r="AI56" s="72"/>
      <c r="AJ56" s="73"/>
      <c r="AK56" s="72"/>
      <c r="AL56" s="125"/>
      <c r="AM56" s="72"/>
      <c r="AN56" s="73"/>
      <c r="AO56" s="72"/>
      <c r="AP56" s="73"/>
      <c r="AQ56" s="200"/>
      <c r="AR56" s="202"/>
      <c r="AS56" s="72"/>
      <c r="AT56" s="73"/>
      <c r="AU56" s="75"/>
      <c r="AV56" s="76"/>
      <c r="AW56" s="72"/>
      <c r="AX56" s="73"/>
      <c r="AY56" s="77"/>
      <c r="AZ56" s="78"/>
      <c r="BA56" s="79"/>
      <c r="BB56" s="26"/>
    </row>
    <row r="57" spans="1:54" ht="12.75">
      <c r="A57" s="113" t="s">
        <v>54</v>
      </c>
      <c r="B57" s="57">
        <v>53</v>
      </c>
      <c r="C57" s="58">
        <v>5.190701867695601E-3</v>
      </c>
      <c r="D57" s="121">
        <v>235437.95348127931</v>
      </c>
      <c r="E57" s="228">
        <v>222882.19830863574</v>
      </c>
      <c r="F57" s="9">
        <f>C57*Allocations!$B$6</f>
        <v>191374.94901969557</v>
      </c>
      <c r="G57" s="9">
        <f>C57*Allocations!$B$12</f>
        <v>90852.854790276091</v>
      </c>
      <c r="H57" s="11">
        <f t="shared" si="15"/>
        <v>649695.10080961068</v>
      </c>
      <c r="I57" s="15">
        <f t="shared" si="8"/>
        <v>740547.95559988683</v>
      </c>
      <c r="J57" s="59">
        <f t="shared" si="16"/>
        <v>216565.03360320357</v>
      </c>
      <c r="K57" s="60">
        <v>-427064.34105795284</v>
      </c>
      <c r="L57" s="61">
        <f t="shared" si="9"/>
        <v>-144836.53724798118</v>
      </c>
      <c r="M57" s="11">
        <f t="shared" si="17"/>
        <v>0</v>
      </c>
      <c r="N57" s="11">
        <f t="shared" si="18"/>
        <v>0</v>
      </c>
      <c r="O57" s="62">
        <f t="shared" si="10"/>
        <v>-144836.53724798118</v>
      </c>
      <c r="P57" s="80">
        <f t="shared" si="19"/>
        <v>-0.66879003890053035</v>
      </c>
      <c r="Q57" s="226">
        <f t="shared" si="20"/>
        <v>1003413.1568701921</v>
      </c>
      <c r="R57" s="223"/>
      <c r="S57" s="122"/>
      <c r="T57" s="122"/>
      <c r="U57" s="122"/>
      <c r="V57" s="65">
        <f t="shared" si="6"/>
        <v>0</v>
      </c>
      <c r="W57" s="121">
        <f t="shared" si="11"/>
        <v>191374.94901969557</v>
      </c>
      <c r="X57" s="66">
        <f t="shared" si="21"/>
        <v>5.223968124891727E-3</v>
      </c>
      <c r="Y57" s="121">
        <f t="shared" si="12"/>
        <v>1659.9189187596494</v>
      </c>
      <c r="Z57" s="121">
        <f>C57*Allocations!$B$11</f>
        <v>187005.57136350177</v>
      </c>
      <c r="AA57" s="228">
        <f t="shared" si="13"/>
        <v>90852.854790276091</v>
      </c>
      <c r="AB57" s="67">
        <f t="shared" si="14"/>
        <v>-147545.9959854153</v>
      </c>
      <c r="AC57" s="81"/>
      <c r="AD57" s="82"/>
      <c r="AE57" s="83"/>
      <c r="AF57" s="84"/>
      <c r="AG57" s="72"/>
      <c r="AH57" s="73"/>
      <c r="AI57" s="72"/>
      <c r="AJ57" s="73"/>
      <c r="AK57" s="72"/>
      <c r="AL57" s="73"/>
      <c r="AM57" s="72"/>
      <c r="AN57" s="73"/>
      <c r="AO57" s="72"/>
      <c r="AP57" s="73"/>
      <c r="AQ57" s="200"/>
      <c r="AR57" s="202"/>
      <c r="AS57" s="72"/>
      <c r="AT57" s="73"/>
      <c r="AU57" s="75"/>
      <c r="AV57" s="76"/>
      <c r="AW57" s="72"/>
      <c r="AX57" s="73"/>
      <c r="AY57" s="77"/>
      <c r="AZ57" s="78"/>
      <c r="BA57" s="79"/>
      <c r="BB57" s="26"/>
    </row>
    <row r="58" spans="1:54" ht="12.75">
      <c r="A58" s="113" t="s">
        <v>55</v>
      </c>
      <c r="B58" s="57">
        <v>54</v>
      </c>
      <c r="C58" s="58">
        <v>6.8860281054392057E-3</v>
      </c>
      <c r="D58" s="121">
        <v>285464.7210482122</v>
      </c>
      <c r="E58" s="228">
        <v>265611.4529415259</v>
      </c>
      <c r="F58" s="9">
        <f>C58*Allocations!$B$6</f>
        <v>253879.59301381698</v>
      </c>
      <c r="G58" s="9">
        <f>C58*Allocations!$B$12</f>
        <v>120526.1499295024</v>
      </c>
      <c r="H58" s="11">
        <f t="shared" si="15"/>
        <v>804955.76700355508</v>
      </c>
      <c r="I58" s="15">
        <f t="shared" si="8"/>
        <v>925481.91693305748</v>
      </c>
      <c r="J58" s="59">
        <f t="shared" si="16"/>
        <v>268318.58900118503</v>
      </c>
      <c r="K58" s="60">
        <v>-1336563.7792015877</v>
      </c>
      <c r="L58" s="61">
        <f t="shared" si="9"/>
        <v>-962158.03625826829</v>
      </c>
      <c r="M58" s="11">
        <f t="shared" si="17"/>
        <v>1230943.05</v>
      </c>
      <c r="N58" s="11">
        <f t="shared" si="18"/>
        <v>788521.05</v>
      </c>
      <c r="O58" s="62">
        <f t="shared" si="10"/>
        <v>-1750679.0862582684</v>
      </c>
      <c r="P58" s="80">
        <f t="shared" si="19"/>
        <v>-6.5246284007946116</v>
      </c>
      <c r="Q58" s="226">
        <f t="shared" si="20"/>
        <v>-227401.52817536658</v>
      </c>
      <c r="R58" s="223"/>
      <c r="S58" s="122"/>
      <c r="T58" s="122"/>
      <c r="U58" s="122"/>
      <c r="V58" s="65">
        <f t="shared" si="6"/>
        <v>0</v>
      </c>
      <c r="W58" s="121">
        <f t="shared" si="11"/>
        <v>253879.59301381698</v>
      </c>
      <c r="X58" s="66">
        <f t="shared" si="21"/>
        <v>6.9301593978644029E-3</v>
      </c>
      <c r="Y58" s="121">
        <f t="shared" si="12"/>
        <v>2202.0621909467577</v>
      </c>
      <c r="Z58" s="121">
        <f>C58*Allocations!$B$11</f>
        <v>248083.14041246849</v>
      </c>
      <c r="AA58" s="228">
        <f t="shared" si="13"/>
        <v>120526.1499295024</v>
      </c>
      <c r="AB58" s="67">
        <f t="shared" si="14"/>
        <v>-1754273.4766686698</v>
      </c>
      <c r="AC58" s="87"/>
      <c r="AD58" s="88"/>
      <c r="AE58" s="83"/>
      <c r="AF58" s="84"/>
      <c r="AG58" s="72"/>
      <c r="AH58" s="73"/>
      <c r="AI58" s="72"/>
      <c r="AJ58" s="73"/>
      <c r="AK58" s="72"/>
      <c r="AL58" s="73"/>
      <c r="AM58" s="72"/>
      <c r="AN58" s="73"/>
      <c r="AO58" s="72"/>
      <c r="AP58" s="73"/>
      <c r="AQ58" s="200"/>
      <c r="AR58" s="202"/>
      <c r="AS58" s="72"/>
      <c r="AT58" s="73"/>
      <c r="AU58" s="212">
        <v>1230943.05</v>
      </c>
      <c r="AV58" s="88">
        <v>788521.05</v>
      </c>
      <c r="AW58" s="72"/>
      <c r="AX58" s="73"/>
      <c r="AY58" s="77"/>
      <c r="AZ58" s="78"/>
      <c r="BA58" s="79"/>
      <c r="BB58" s="26"/>
    </row>
    <row r="59" spans="1:54" ht="12.75">
      <c r="A59" s="91" t="s">
        <v>56</v>
      </c>
      <c r="B59" s="92">
        <v>55</v>
      </c>
      <c r="C59" s="93">
        <v>1.3136430079898962E-2</v>
      </c>
      <c r="D59" s="221">
        <v>423962.71045893407</v>
      </c>
      <c r="E59" s="229">
        <v>487456.00472173182</v>
      </c>
      <c r="F59" s="10">
        <f>C59*Allocations!$B$6</f>
        <v>484324.41332977882</v>
      </c>
      <c r="G59" s="10">
        <f>C59*Allocations!$B$12</f>
        <v>229926.93568847148</v>
      </c>
      <c r="H59" s="12">
        <f t="shared" si="15"/>
        <v>1395743.1285104449</v>
      </c>
      <c r="I59" s="16">
        <f t="shared" si="8"/>
        <v>1625670.0641989163</v>
      </c>
      <c r="J59" s="94">
        <f t="shared" si="16"/>
        <v>465247.70950348163</v>
      </c>
      <c r="K59" s="95">
        <v>1214457.9110457124</v>
      </c>
      <c r="L59" s="96">
        <f t="shared" si="9"/>
        <v>1928709.2600639628</v>
      </c>
      <c r="M59" s="11">
        <f t="shared" si="17"/>
        <v>1880396.6199999999</v>
      </c>
      <c r="N59" s="12">
        <f t="shared" si="18"/>
        <v>1661916.6199999999</v>
      </c>
      <c r="O59" s="97">
        <f t="shared" si="10"/>
        <v>266792.6400639629</v>
      </c>
      <c r="P59" s="98">
        <f t="shared" si="19"/>
        <v>0.57344213547808209</v>
      </c>
      <c r="Q59" s="227">
        <f t="shared" si="20"/>
        <v>3172739.1200426361</v>
      </c>
      <c r="R59" s="224"/>
      <c r="S59" s="222"/>
      <c r="T59" s="222"/>
      <c r="U59" s="222"/>
      <c r="V59" s="99">
        <f t="shared" si="6"/>
        <v>0</v>
      </c>
      <c r="W59" s="221">
        <f t="shared" si="11"/>
        <v>484324.41332977882</v>
      </c>
      <c r="X59" s="100">
        <f t="shared" si="21"/>
        <v>1.3220619053339435E-2</v>
      </c>
      <c r="Y59" s="221">
        <f t="shared" si="12"/>
        <v>4200.8594156204299</v>
      </c>
      <c r="Z59" s="221">
        <f>C59*Allocations!$B$11</f>
        <v>473266.55920209718</v>
      </c>
      <c r="AA59" s="229">
        <f t="shared" si="13"/>
        <v>229926.93568847148</v>
      </c>
      <c r="AB59" s="101">
        <f t="shared" si="14"/>
        <v>259935.64535190165</v>
      </c>
      <c r="AC59" s="102"/>
      <c r="AD59" s="103"/>
      <c r="AE59" s="104"/>
      <c r="AF59" s="105"/>
      <c r="AG59" s="106">
        <v>1221334.17</v>
      </c>
      <c r="AH59" s="107">
        <v>1221334.17</v>
      </c>
      <c r="AI59" s="187">
        <v>659062.44999999995</v>
      </c>
      <c r="AJ59" s="94">
        <v>440582.45</v>
      </c>
      <c r="AK59" s="106"/>
      <c r="AL59" s="107"/>
      <c r="AM59" s="106"/>
      <c r="AN59" s="107"/>
      <c r="AO59" s="106"/>
      <c r="AP59" s="107"/>
      <c r="AQ59" s="203"/>
      <c r="AR59" s="204"/>
      <c r="AS59" s="106"/>
      <c r="AT59" s="107"/>
      <c r="AU59" s="108"/>
      <c r="AV59" s="109"/>
      <c r="AW59" s="106"/>
      <c r="AX59" s="107"/>
      <c r="AY59" s="110"/>
      <c r="AZ59" s="111"/>
      <c r="BA59" s="112"/>
    </row>
    <row r="60" spans="1:54" ht="12.75">
      <c r="A60" s="113" t="s">
        <v>57</v>
      </c>
      <c r="B60" s="57">
        <v>56</v>
      </c>
      <c r="C60" s="58">
        <v>6.8312473048058441E-3</v>
      </c>
      <c r="D60" s="121">
        <v>255879.30191623975</v>
      </c>
      <c r="E60" s="228">
        <v>254483.95551960211</v>
      </c>
      <c r="F60" s="9">
        <f>C60*Allocations!$B$6</f>
        <v>251859.89063142572</v>
      </c>
      <c r="G60" s="9">
        <f>C60*Allocations!$B$12</f>
        <v>119567.32157601666</v>
      </c>
      <c r="H60" s="11">
        <f t="shared" si="15"/>
        <v>762223.14806726761</v>
      </c>
      <c r="I60" s="15">
        <f t="shared" si="8"/>
        <v>881790.46964328433</v>
      </c>
      <c r="J60" s="59">
        <f t="shared" si="16"/>
        <v>254074.38268908919</v>
      </c>
      <c r="K60" s="60">
        <v>219868.9573488727</v>
      </c>
      <c r="L60" s="61">
        <f t="shared" si="9"/>
        <v>591296.16955631506</v>
      </c>
      <c r="M60" s="11">
        <f t="shared" si="17"/>
        <v>957141.28</v>
      </c>
      <c r="N60" s="11">
        <f t="shared" si="18"/>
        <v>520181.28</v>
      </c>
      <c r="O60" s="62">
        <f t="shared" si="10"/>
        <v>71114.889556315029</v>
      </c>
      <c r="P60" s="80">
        <f t="shared" si="19"/>
        <v>0.2798979133734168</v>
      </c>
      <c r="Q60" s="226">
        <f t="shared" si="20"/>
        <v>1582274.2333448695</v>
      </c>
      <c r="R60" s="223"/>
      <c r="S60" s="122"/>
      <c r="T60" s="122"/>
      <c r="U60" s="122"/>
      <c r="V60" s="65">
        <f t="shared" si="6"/>
        <v>0</v>
      </c>
      <c r="W60" s="121">
        <f t="shared" si="11"/>
        <v>251859.89063142572</v>
      </c>
      <c r="X60" s="66">
        <f t="shared" si="21"/>
        <v>6.8750275171170746E-3</v>
      </c>
      <c r="Y60" s="121">
        <f t="shared" si="12"/>
        <v>2184.5440036815576</v>
      </c>
      <c r="Z60" s="121">
        <f>C60*Allocations!$B$11</f>
        <v>246109.55087037836</v>
      </c>
      <c r="AA60" s="228">
        <f t="shared" si="13"/>
        <v>119567.32157601666</v>
      </c>
      <c r="AB60" s="67">
        <f t="shared" si="14"/>
        <v>67549.093798949238</v>
      </c>
      <c r="AC60" s="81"/>
      <c r="AD60" s="82"/>
      <c r="AE60" s="83"/>
      <c r="AF60" s="84"/>
      <c r="AG60" s="72"/>
      <c r="AH60" s="73"/>
      <c r="AI60" s="72"/>
      <c r="AJ60" s="73"/>
      <c r="AK60" s="72"/>
      <c r="AL60" s="73"/>
      <c r="AM60" s="72"/>
      <c r="AN60" s="73"/>
      <c r="AO60" s="72">
        <f>640781.26/2</f>
        <v>320390.63</v>
      </c>
      <c r="AP60" s="198">
        <f>AO60</f>
        <v>320390.63</v>
      </c>
      <c r="AQ60" s="200"/>
      <c r="AR60" s="202"/>
      <c r="AS60" s="72"/>
      <c r="AT60" s="73"/>
      <c r="AU60" s="75"/>
      <c r="AV60" s="76"/>
      <c r="AW60" s="72"/>
      <c r="AX60" s="73"/>
      <c r="AY60" s="77">
        <v>636750.65</v>
      </c>
      <c r="AZ60" s="78">
        <v>199790.65</v>
      </c>
      <c r="BA60" s="79"/>
      <c r="BB60" s="199" t="s">
        <v>144</v>
      </c>
    </row>
    <row r="61" spans="1:54" ht="12.75">
      <c r="A61" s="113" t="s">
        <v>58</v>
      </c>
      <c r="B61" s="57">
        <v>57</v>
      </c>
      <c r="C61" s="58">
        <v>9.8200440749169528E-3</v>
      </c>
      <c r="D61" s="121">
        <v>468134.88327881991</v>
      </c>
      <c r="E61" s="228">
        <v>483258.38641527097</v>
      </c>
      <c r="F61" s="9">
        <f>C61*Allocations!$B$6</f>
        <v>362053.24098929815</v>
      </c>
      <c r="G61" s="9">
        <f>C61*Allocations!$B$12</f>
        <v>171880.23144327139</v>
      </c>
      <c r="H61" s="11">
        <f t="shared" si="15"/>
        <v>1313446.5106833889</v>
      </c>
      <c r="I61" s="15">
        <f t="shared" si="8"/>
        <v>1485326.7421266604</v>
      </c>
      <c r="J61" s="59">
        <f t="shared" si="16"/>
        <v>437815.50356112962</v>
      </c>
      <c r="K61" s="60">
        <v>-476118.88963263214</v>
      </c>
      <c r="L61" s="61">
        <f t="shared" si="9"/>
        <v>57814.58279993746</v>
      </c>
      <c r="M61" s="11">
        <f t="shared" si="17"/>
        <v>648175.25</v>
      </c>
      <c r="N61" s="11">
        <f t="shared" si="18"/>
        <v>648175.25</v>
      </c>
      <c r="O61" s="62">
        <f t="shared" si="10"/>
        <v>-590360.66720006254</v>
      </c>
      <c r="P61" s="80">
        <f t="shared" si="19"/>
        <v>-1.3484233938683123</v>
      </c>
      <c r="Q61" s="226">
        <f t="shared" si="20"/>
        <v>1581958.7787357266</v>
      </c>
      <c r="R61" s="223"/>
      <c r="S61" s="122"/>
      <c r="T61" s="122"/>
      <c r="U61" s="122"/>
      <c r="V61" s="65">
        <f t="shared" si="6"/>
        <v>0</v>
      </c>
      <c r="W61" s="121">
        <f t="shared" si="11"/>
        <v>362053.24098929815</v>
      </c>
      <c r="X61" s="66">
        <f t="shared" si="21"/>
        <v>9.8829789381011685E-3</v>
      </c>
      <c r="Y61" s="121">
        <f t="shared" si="12"/>
        <v>3140.322322199715</v>
      </c>
      <c r="Z61" s="121">
        <f>C61*Allocations!$B$11</f>
        <v>353787.0214572507</v>
      </c>
      <c r="AA61" s="228">
        <f t="shared" si="13"/>
        <v>171880.23144327139</v>
      </c>
      <c r="AB61" s="67">
        <f t="shared" si="14"/>
        <v>-595486.56440991012</v>
      </c>
      <c r="AC61" s="81"/>
      <c r="AD61" s="82"/>
      <c r="AE61" s="83"/>
      <c r="AF61" s="84"/>
      <c r="AG61" s="72">
        <v>648175.25</v>
      </c>
      <c r="AH61" s="73">
        <v>648175.25</v>
      </c>
      <c r="AI61" s="72"/>
      <c r="AJ61" s="73"/>
      <c r="AK61" s="72"/>
      <c r="AL61" s="73"/>
      <c r="AM61" s="72"/>
      <c r="AN61" s="73"/>
      <c r="AO61" s="72"/>
      <c r="AP61" s="73"/>
      <c r="AQ61" s="200"/>
      <c r="AR61" s="202"/>
      <c r="AS61" s="72"/>
      <c r="AT61" s="73"/>
      <c r="AU61" s="75"/>
      <c r="AV61" s="76"/>
      <c r="AW61" s="72"/>
      <c r="AX61" s="73"/>
      <c r="AY61" s="77"/>
      <c r="AZ61" s="78"/>
      <c r="BA61" s="79"/>
    </row>
    <row r="62" spans="1:54" ht="12.75">
      <c r="A62" s="113" t="s">
        <v>59</v>
      </c>
      <c r="B62" s="57">
        <v>58</v>
      </c>
      <c r="C62" s="58">
        <v>8.8681486043435884E-3</v>
      </c>
      <c r="D62" s="121">
        <v>308327.77409182041</v>
      </c>
      <c r="E62" s="228">
        <v>298735.14555190358</v>
      </c>
      <c r="F62" s="9">
        <f>C62*Allocations!$B$6</f>
        <v>326957.99726382288</v>
      </c>
      <c r="G62" s="9">
        <f>C62*Allocations!$B$12</f>
        <v>155219.20502182579</v>
      </c>
      <c r="H62" s="11">
        <f t="shared" si="15"/>
        <v>934020.91690754681</v>
      </c>
      <c r="I62" s="15">
        <f t="shared" si="8"/>
        <v>1089240.1219293727</v>
      </c>
      <c r="J62" s="59">
        <f t="shared" si="16"/>
        <v>311340.30563584896</v>
      </c>
      <c r="K62" s="60">
        <v>-2407918.8581531169</v>
      </c>
      <c r="L62" s="61">
        <f t="shared" si="9"/>
        <v>-1925741.6558674681</v>
      </c>
      <c r="M62" s="11">
        <f t="shared" si="17"/>
        <v>532653.92000000004</v>
      </c>
      <c r="N62" s="11">
        <f t="shared" si="18"/>
        <v>327828.92</v>
      </c>
      <c r="O62" s="62">
        <f t="shared" si="10"/>
        <v>-2253570.575867468</v>
      </c>
      <c r="P62" s="80">
        <f t="shared" si="19"/>
        <v>-7.2382872858848479</v>
      </c>
      <c r="Q62" s="226">
        <f t="shared" si="20"/>
        <v>-291822.59228453087</v>
      </c>
      <c r="R62" s="223"/>
      <c r="S62" s="122"/>
      <c r="T62" s="122"/>
      <c r="U62" s="122"/>
      <c r="V62" s="65">
        <f t="shared" si="6"/>
        <v>0</v>
      </c>
      <c r="W62" s="121">
        <f t="shared" si="11"/>
        <v>326957.99726382288</v>
      </c>
      <c r="X62" s="66">
        <f t="shared" si="21"/>
        <v>8.9249829438693383E-3</v>
      </c>
      <c r="Y62" s="121">
        <f t="shared" si="12"/>
        <v>2835.9185362454637</v>
      </c>
      <c r="Z62" s="121">
        <f>C62*Allocations!$B$11</f>
        <v>319493.05488198902</v>
      </c>
      <c r="AA62" s="228">
        <f t="shared" si="13"/>
        <v>155219.20502182579</v>
      </c>
      <c r="AB62" s="67">
        <f t="shared" si="14"/>
        <v>-2258199.5997130568</v>
      </c>
      <c r="AC62" s="81"/>
      <c r="AD62" s="82"/>
      <c r="AE62" s="83"/>
      <c r="AF62" s="84"/>
      <c r="AG62" s="72"/>
      <c r="AH62" s="73"/>
      <c r="AI62" s="72"/>
      <c r="AJ62" s="73"/>
      <c r="AK62" s="72"/>
      <c r="AL62" s="73"/>
      <c r="AM62" s="72"/>
      <c r="AN62" s="73"/>
      <c r="AO62" s="72"/>
      <c r="AP62" s="73"/>
      <c r="AQ62" s="200"/>
      <c r="AR62" s="202"/>
      <c r="AS62" s="72"/>
      <c r="AT62" s="73"/>
      <c r="AU62" s="75">
        <v>532653.92000000004</v>
      </c>
      <c r="AV62" s="88">
        <v>327828.92</v>
      </c>
      <c r="AW62" s="72"/>
      <c r="AX62" s="73"/>
      <c r="AY62" s="77"/>
      <c r="AZ62" s="78"/>
      <c r="BA62" s="79"/>
    </row>
    <row r="63" spans="1:54" ht="12.75">
      <c r="A63" s="113" t="s">
        <v>60</v>
      </c>
      <c r="B63" s="57">
        <v>59</v>
      </c>
      <c r="C63" s="58">
        <v>6.1850945882353583E-3</v>
      </c>
      <c r="D63" s="121">
        <v>300494.4628988388</v>
      </c>
      <c r="E63" s="228">
        <v>285504.64108232857</v>
      </c>
      <c r="F63" s="9">
        <f>C63*Allocations!$B$6</f>
        <v>228037.01535473179</v>
      </c>
      <c r="G63" s="9">
        <f>C63*Allocations!$B$12</f>
        <v>108257.71057788345</v>
      </c>
      <c r="H63" s="11">
        <f t="shared" si="15"/>
        <v>814036.11933589913</v>
      </c>
      <c r="I63" s="15">
        <f t="shared" si="8"/>
        <v>922293.82991378254</v>
      </c>
      <c r="J63" s="59">
        <f t="shared" si="16"/>
        <v>271345.37311196636</v>
      </c>
      <c r="K63" s="60">
        <v>145104.5471490623</v>
      </c>
      <c r="L63" s="61">
        <f t="shared" si="9"/>
        <v>481399.2730816775</v>
      </c>
      <c r="M63" s="11">
        <f t="shared" si="17"/>
        <v>0</v>
      </c>
      <c r="N63" s="11">
        <f t="shared" si="18"/>
        <v>0</v>
      </c>
      <c r="O63" s="62">
        <f t="shared" si="10"/>
        <v>481399.2730816775</v>
      </c>
      <c r="P63" s="80">
        <f t="shared" si="19"/>
        <v>1.7741200727348896</v>
      </c>
      <c r="Q63" s="226">
        <f t="shared" si="20"/>
        <v>1849621.3652100682</v>
      </c>
      <c r="R63" s="223"/>
      <c r="S63" s="122"/>
      <c r="T63" s="122"/>
      <c r="U63" s="122"/>
      <c r="V63" s="65">
        <f t="shared" si="6"/>
        <v>0</v>
      </c>
      <c r="W63" s="121">
        <f t="shared" si="11"/>
        <v>228037.01535473179</v>
      </c>
      <c r="X63" s="66">
        <f t="shared" si="21"/>
        <v>6.2247337261783645E-3</v>
      </c>
      <c r="Y63" s="121">
        <f t="shared" si="12"/>
        <v>1977.9127723025433</v>
      </c>
      <c r="Z63" s="121">
        <f>C63*Allocations!$B$11</f>
        <v>222830.587633758</v>
      </c>
      <c r="AA63" s="228">
        <f t="shared" si="13"/>
        <v>108257.71057788345</v>
      </c>
      <c r="AB63" s="67">
        <f t="shared" si="14"/>
        <v>478170.75813300634</v>
      </c>
      <c r="AC63" s="81"/>
      <c r="AD63" s="82"/>
      <c r="AE63" s="83"/>
      <c r="AF63" s="84"/>
      <c r="AG63" s="72"/>
      <c r="AH63" s="73"/>
      <c r="AI63" s="72"/>
      <c r="AJ63" s="73"/>
      <c r="AK63" s="72"/>
      <c r="AL63" s="73"/>
      <c r="AM63" s="188"/>
      <c r="AN63" s="73"/>
      <c r="AO63" s="72"/>
      <c r="AP63" s="73"/>
      <c r="AQ63" s="200"/>
      <c r="AR63" s="202"/>
      <c r="AS63" s="72"/>
      <c r="AT63" s="73"/>
      <c r="AU63" s="75"/>
      <c r="AV63" s="76"/>
      <c r="AW63" s="72"/>
      <c r="AX63" s="73"/>
      <c r="AY63" s="77"/>
      <c r="AZ63" s="78"/>
      <c r="BA63" s="79"/>
    </row>
    <row r="64" spans="1:54" ht="12.75">
      <c r="A64" s="91" t="s">
        <v>61</v>
      </c>
      <c r="B64" s="92">
        <v>60</v>
      </c>
      <c r="C64" s="93">
        <v>1.271183802659402E-2</v>
      </c>
      <c r="D64" s="221">
        <v>406944.80188889895</v>
      </c>
      <c r="E64" s="229">
        <v>437297.69213837426</v>
      </c>
      <c r="F64" s="10">
        <f>C64*Allocations!$B$6</f>
        <v>468670.21383488958</v>
      </c>
      <c r="G64" s="10">
        <f>C64*Allocations!$B$12</f>
        <v>222495.30097947508</v>
      </c>
      <c r="H64" s="12">
        <f t="shared" si="15"/>
        <v>1312912.707862163</v>
      </c>
      <c r="I64" s="16">
        <f t="shared" si="8"/>
        <v>1535408.008841638</v>
      </c>
      <c r="J64" s="94">
        <f t="shared" si="16"/>
        <v>437637.56928738765</v>
      </c>
      <c r="K64" s="95">
        <v>-1228016.503534337</v>
      </c>
      <c r="L64" s="96">
        <f t="shared" si="9"/>
        <v>-536850.98871997232</v>
      </c>
      <c r="M64" s="12">
        <f t="shared" si="17"/>
        <v>495372</v>
      </c>
      <c r="N64" s="12">
        <f t="shared" si="18"/>
        <v>396297.6</v>
      </c>
      <c r="O64" s="97">
        <f t="shared" si="10"/>
        <v>-933148.58871997229</v>
      </c>
      <c r="P64" s="98">
        <f t="shared" si="19"/>
        <v>-2.132240589489228</v>
      </c>
      <c r="Q64" s="227">
        <f t="shared" si="20"/>
        <v>1878872.6942893649</v>
      </c>
      <c r="R64" s="224"/>
      <c r="S64" s="222"/>
      <c r="T64" s="222"/>
      <c r="U64" s="222"/>
      <c r="V64" s="99">
        <f t="shared" si="6"/>
        <v>0</v>
      </c>
      <c r="W64" s="221">
        <f t="shared" si="11"/>
        <v>468670.21383488958</v>
      </c>
      <c r="X64" s="100">
        <f t="shared" si="21"/>
        <v>1.2793305867361361E-2</v>
      </c>
      <c r="Y64" s="221">
        <f t="shared" si="12"/>
        <v>4065.0804015294575</v>
      </c>
      <c r="Z64" s="221">
        <f>C64*Allocations!$B$11</f>
        <v>457969.76860450063</v>
      </c>
      <c r="AA64" s="229">
        <f t="shared" si="13"/>
        <v>222495.30097947508</v>
      </c>
      <c r="AB64" s="101">
        <f t="shared" si="14"/>
        <v>-939783.95354883187</v>
      </c>
      <c r="AC64" s="102"/>
      <c r="AD64" s="103"/>
      <c r="AE64" s="104"/>
      <c r="AF64" s="105"/>
      <c r="AG64" s="106"/>
      <c r="AH64" s="107"/>
      <c r="AI64" s="106"/>
      <c r="AJ64" s="107"/>
      <c r="AK64" s="187">
        <f>248501+246871</f>
        <v>495372</v>
      </c>
      <c r="AL64" s="94">
        <f>147730.97+51069.83+197496.8</f>
        <v>396297.6</v>
      </c>
      <c r="AM64" s="106"/>
      <c r="AN64" s="107"/>
      <c r="AO64" s="106"/>
      <c r="AP64" s="107"/>
      <c r="AQ64" s="203"/>
      <c r="AR64" s="204"/>
      <c r="AS64" s="106"/>
      <c r="AT64" s="107"/>
      <c r="AU64" s="108"/>
      <c r="AV64" s="109"/>
      <c r="AW64" s="106"/>
      <c r="AX64" s="107"/>
      <c r="AY64" s="110"/>
      <c r="AZ64" s="111"/>
      <c r="BA64" s="112"/>
    </row>
    <row r="65" spans="1:54" ht="12.75">
      <c r="A65" s="113" t="s">
        <v>62</v>
      </c>
      <c r="B65" s="57">
        <v>61</v>
      </c>
      <c r="C65" s="58">
        <v>1.8725674145736632E-2</v>
      </c>
      <c r="D65" s="121">
        <v>625775.65877179138</v>
      </c>
      <c r="E65" s="228">
        <v>687173.82996480539</v>
      </c>
      <c r="F65" s="9">
        <f>C65*Allocations!$B$6</f>
        <v>690393.13494433474</v>
      </c>
      <c r="G65" s="9">
        <f>C65*Allocations!$B$12</f>
        <v>327755.47457282821</v>
      </c>
      <c r="H65" s="11">
        <f t="shared" si="15"/>
        <v>2003342.6236809315</v>
      </c>
      <c r="I65" s="15">
        <f t="shared" si="8"/>
        <v>2331098.0982537596</v>
      </c>
      <c r="J65" s="59">
        <f t="shared" si="16"/>
        <v>667780.87456031051</v>
      </c>
      <c r="K65" s="60">
        <v>-529957.72428469802</v>
      </c>
      <c r="L65" s="61">
        <f t="shared" si="9"/>
        <v>488190.88523246488</v>
      </c>
      <c r="M65" s="11">
        <f t="shared" si="17"/>
        <v>919799.95</v>
      </c>
      <c r="N65" s="11">
        <f t="shared" si="18"/>
        <v>919799.95</v>
      </c>
      <c r="O65" s="62">
        <f t="shared" si="10"/>
        <v>-431609.06476753508</v>
      </c>
      <c r="P65" s="80">
        <f>O65/J65</f>
        <v>-0.64633337253290024</v>
      </c>
      <c r="Q65" s="226">
        <f t="shared" si="20"/>
        <v>3710749.7448984738</v>
      </c>
      <c r="R65" s="223"/>
      <c r="S65" s="122"/>
      <c r="T65" s="122"/>
      <c r="U65" s="122"/>
      <c r="V65" s="65">
        <f t="shared" si="6"/>
        <v>0</v>
      </c>
      <c r="W65" s="121">
        <f t="shared" si="11"/>
        <v>690393.13494433474</v>
      </c>
      <c r="X65" s="66">
        <f t="shared" si="21"/>
        <v>1.8845683560297647E-2</v>
      </c>
      <c r="Y65" s="121">
        <f t="shared" si="12"/>
        <v>5988.2269437362111</v>
      </c>
      <c r="Z65" s="121">
        <f>C65*Allocations!$B$11</f>
        <v>674630.42225248227</v>
      </c>
      <c r="AA65" s="228">
        <f t="shared" si="13"/>
        <v>327755.47457282821</v>
      </c>
      <c r="AB65" s="67">
        <f t="shared" si="14"/>
        <v>-441383.5505156513</v>
      </c>
      <c r="AC65" s="81"/>
      <c r="AD65" s="82"/>
      <c r="AE65" s="83"/>
      <c r="AF65" s="84"/>
      <c r="AG65" s="72"/>
      <c r="AH65" s="73"/>
      <c r="AI65" s="72"/>
      <c r="AJ65" s="73"/>
      <c r="AK65" s="72"/>
      <c r="AL65" s="73"/>
      <c r="AM65" s="72"/>
      <c r="AN65" s="73"/>
      <c r="AO65" s="72"/>
      <c r="AP65" s="73"/>
      <c r="AQ65" s="200"/>
      <c r="AR65" s="202"/>
      <c r="AS65" s="72"/>
      <c r="AT65" s="73"/>
      <c r="AU65" s="75"/>
      <c r="AV65" s="76"/>
      <c r="AW65" s="72">
        <v>919799.95</v>
      </c>
      <c r="AX65" s="73">
        <v>919799.95</v>
      </c>
      <c r="AY65" s="77"/>
      <c r="AZ65" s="78"/>
      <c r="BA65" s="79"/>
    </row>
    <row r="66" spans="1:54" ht="12.75">
      <c r="A66" s="113" t="s">
        <v>63</v>
      </c>
      <c r="B66" s="57">
        <v>62</v>
      </c>
      <c r="C66" s="58">
        <v>1.437306009416563E-2</v>
      </c>
      <c r="D66" s="121">
        <v>299714.44698288437</v>
      </c>
      <c r="E66" s="228">
        <v>473391.67334988399</v>
      </c>
      <c r="F66" s="9">
        <f>C66*Allocations!$B$6</f>
        <v>529917.47799977381</v>
      </c>
      <c r="G66" s="9">
        <f>C66*Allocations!$B$12</f>
        <v>251571.67082818097</v>
      </c>
      <c r="H66" s="11">
        <f t="shared" si="15"/>
        <v>1303023.5983325422</v>
      </c>
      <c r="I66" s="15">
        <f t="shared" si="8"/>
        <v>1554595.2691607233</v>
      </c>
      <c r="J66" s="59">
        <f t="shared" si="16"/>
        <v>434341.19944418076</v>
      </c>
      <c r="K66" s="60">
        <v>856221.06527424336</v>
      </c>
      <c r="L66" s="61">
        <f t="shared" si="9"/>
        <v>1637710.2141021981</v>
      </c>
      <c r="M66" s="11">
        <f t="shared" si="17"/>
        <v>685720.75</v>
      </c>
      <c r="N66" s="11">
        <f t="shared" si="18"/>
        <v>685720.75</v>
      </c>
      <c r="O66" s="62">
        <f t="shared" si="10"/>
        <v>951989.46410219814</v>
      </c>
      <c r="P66" s="80">
        <f t="shared" si="19"/>
        <v>2.1918009742581255</v>
      </c>
      <c r="Q66" s="226">
        <f t="shared" si="20"/>
        <v>4131494.3321008412</v>
      </c>
      <c r="R66" s="223"/>
      <c r="S66" s="122"/>
      <c r="T66" s="122"/>
      <c r="U66" s="122"/>
      <c r="V66" s="65">
        <f t="shared" si="6"/>
        <v>0</v>
      </c>
      <c r="W66" s="121">
        <f t="shared" si="11"/>
        <v>529917.47799977381</v>
      </c>
      <c r="X66" s="66">
        <f t="shared" si="21"/>
        <v>1.4465174402784197E-2</v>
      </c>
      <c r="Y66" s="121">
        <f t="shared" si="12"/>
        <v>4596.3176038400807</v>
      </c>
      <c r="Z66" s="121">
        <f>C66*Allocations!$B$11</f>
        <v>517818.6656951367</v>
      </c>
      <c r="AA66" s="228">
        <f t="shared" si="13"/>
        <v>251571.67082818097</v>
      </c>
      <c r="AB66" s="67">
        <f t="shared" si="14"/>
        <v>944486.96940140112</v>
      </c>
      <c r="AC66" s="81"/>
      <c r="AD66" s="82"/>
      <c r="AE66" s="83"/>
      <c r="AF66" s="84"/>
      <c r="AG66" s="72"/>
      <c r="AH66" s="73"/>
      <c r="AI66" s="72"/>
      <c r="AJ66" s="73"/>
      <c r="AK66" s="72"/>
      <c r="AL66" s="73"/>
      <c r="AM66" s="72"/>
      <c r="AN66" s="73"/>
      <c r="AO66" s="72"/>
      <c r="AP66" s="73"/>
      <c r="AQ66" s="200"/>
      <c r="AR66" s="202"/>
      <c r="AS66" s="72"/>
      <c r="AT66" s="73"/>
      <c r="AU66" s="75"/>
      <c r="AV66" s="76"/>
      <c r="AW66" s="72">
        <v>685720.75</v>
      </c>
      <c r="AX66" s="73">
        <v>685720.75</v>
      </c>
      <c r="AY66" s="77"/>
      <c r="AZ66" s="78"/>
      <c r="BA66" s="79"/>
    </row>
    <row r="67" spans="1:54" ht="12.75">
      <c r="A67" s="113" t="s">
        <v>64</v>
      </c>
      <c r="B67" s="57">
        <v>63</v>
      </c>
      <c r="C67" s="58">
        <v>9.9947599375348421E-3</v>
      </c>
      <c r="D67" s="121">
        <v>383710.88637457311</v>
      </c>
      <c r="E67" s="228">
        <v>398135.50058820826</v>
      </c>
      <c r="F67" s="9">
        <f>C67*Allocations!$B$6</f>
        <v>368494.80518498458</v>
      </c>
      <c r="G67" s="9">
        <f>C67*Allocations!$B$12</f>
        <v>174938.28318667231</v>
      </c>
      <c r="H67" s="11">
        <f t="shared" si="15"/>
        <v>1150341.192147766</v>
      </c>
      <c r="I67" s="15">
        <f t="shared" si="8"/>
        <v>1325279.4753344383</v>
      </c>
      <c r="J67" s="59">
        <f t="shared" si="16"/>
        <v>383447.06404925534</v>
      </c>
      <c r="K67" s="60">
        <v>989835.65772555466</v>
      </c>
      <c r="L67" s="61">
        <f t="shared" si="9"/>
        <v>1533268.7460972115</v>
      </c>
      <c r="M67" s="11">
        <f t="shared" si="17"/>
        <v>0</v>
      </c>
      <c r="N67" s="11">
        <f t="shared" si="18"/>
        <v>0</v>
      </c>
      <c r="O67" s="62">
        <f t="shared" si="10"/>
        <v>1533268.7460972115</v>
      </c>
      <c r="P67" s="80">
        <f t="shared" si="19"/>
        <v>3.9986451582277778</v>
      </c>
      <c r="Q67" s="226">
        <f t="shared" si="20"/>
        <v>3744237.5772071192</v>
      </c>
      <c r="R67" s="223">
        <v>412865.8</v>
      </c>
      <c r="S67" s="122">
        <v>412865.8</v>
      </c>
      <c r="T67" s="122"/>
      <c r="U67" s="122"/>
      <c r="V67" s="65">
        <f t="shared" si="6"/>
        <v>0</v>
      </c>
      <c r="W67" s="121">
        <f t="shared" si="11"/>
        <v>368494.80518498458</v>
      </c>
      <c r="X67" s="66">
        <f t="shared" si="21"/>
        <v>1.0058814522670007E-2</v>
      </c>
      <c r="Y67" s="121">
        <f t="shared" si="12"/>
        <v>3196.1941817591619</v>
      </c>
      <c r="Z67" s="121">
        <f>C67*Allocations!$B$11</f>
        <v>360081.51506291609</v>
      </c>
      <c r="AA67" s="228">
        <f t="shared" si="13"/>
        <v>174938.28318667231</v>
      </c>
      <c r="AB67" s="67">
        <f t="shared" si="14"/>
        <v>1528051.6501569021</v>
      </c>
      <c r="AC67" s="81"/>
      <c r="AD67" s="82"/>
      <c r="AE67" s="83"/>
      <c r="AF67" s="84"/>
      <c r="AG67" s="72"/>
      <c r="AH67" s="73"/>
      <c r="AI67" s="72"/>
      <c r="AJ67" s="73"/>
      <c r="AK67" s="72"/>
      <c r="AL67" s="73"/>
      <c r="AM67" s="72"/>
      <c r="AN67" s="73"/>
      <c r="AO67" s="72"/>
      <c r="AP67" s="73"/>
      <c r="AQ67" s="200"/>
      <c r="AR67" s="202"/>
      <c r="AS67" s="72"/>
      <c r="AT67" s="73"/>
      <c r="AU67" s="75"/>
      <c r="AV67" s="76"/>
      <c r="AW67" s="72"/>
      <c r="AX67" s="73"/>
      <c r="AY67" s="77"/>
      <c r="AZ67" s="78"/>
      <c r="BA67" s="79"/>
    </row>
    <row r="68" spans="1:54" ht="12.75">
      <c r="A68" s="113" t="s">
        <v>65</v>
      </c>
      <c r="B68" s="57">
        <v>64</v>
      </c>
      <c r="C68" s="58">
        <v>1.8875306164970181E-2</v>
      </c>
      <c r="D68" s="121">
        <v>516024.80895874038</v>
      </c>
      <c r="E68" s="228">
        <v>582594.68826649059</v>
      </c>
      <c r="F68" s="9">
        <f>C68*Allocations!$B$6</f>
        <v>695909.88793505263</v>
      </c>
      <c r="G68" s="9">
        <f>C68*Allocations!$B$12</f>
        <v>330374.48380547302</v>
      </c>
      <c r="H68" s="11">
        <f t="shared" si="15"/>
        <v>1794529.3851602837</v>
      </c>
      <c r="I68" s="15">
        <f t="shared" si="8"/>
        <v>2124903.8689657566</v>
      </c>
      <c r="J68" s="59">
        <f t="shared" si="16"/>
        <v>598176.46172009455</v>
      </c>
      <c r="K68" s="60">
        <v>-99618.212744657299</v>
      </c>
      <c r="L68" s="61">
        <f t="shared" si="9"/>
        <v>926666.15899586829</v>
      </c>
      <c r="M68" s="11">
        <f t="shared" si="17"/>
        <v>2579869</v>
      </c>
      <c r="N68" s="11">
        <f t="shared" si="18"/>
        <v>2579869</v>
      </c>
      <c r="O68" s="62">
        <f t="shared" si="10"/>
        <v>-1653202.8410041318</v>
      </c>
      <c r="P68" s="80">
        <f t="shared" si="19"/>
        <v>-2.7637377041721796</v>
      </c>
      <c r="Q68" s="226">
        <f t="shared" si="20"/>
        <v>2522256.4866061839</v>
      </c>
      <c r="R68" s="223"/>
      <c r="S68" s="122"/>
      <c r="T68" s="122"/>
      <c r="U68" s="122"/>
      <c r="V68" s="65">
        <f t="shared" si="6"/>
        <v>0</v>
      </c>
      <c r="W68" s="121">
        <f t="shared" si="11"/>
        <v>695909.88793505263</v>
      </c>
      <c r="X68" s="66">
        <f t="shared" si="21"/>
        <v>1.8996274543725919E-2</v>
      </c>
      <c r="Y68" s="121">
        <f t="shared" si="12"/>
        <v>6036.0773165583823</v>
      </c>
      <c r="Z68" s="121">
        <f>C68*Allocations!$B$11</f>
        <v>680021.21948265855</v>
      </c>
      <c r="AA68" s="228">
        <f t="shared" si="13"/>
        <v>330374.48380547302</v>
      </c>
      <c r="AB68" s="67">
        <f t="shared" si="14"/>
        <v>-1663055.4321399676</v>
      </c>
      <c r="AC68" s="81"/>
      <c r="AD68" s="82"/>
      <c r="AE68" s="83"/>
      <c r="AF68" s="84"/>
      <c r="AG68" s="72"/>
      <c r="AH68" s="73"/>
      <c r="AI68" s="72"/>
      <c r="AJ68" s="73"/>
      <c r="AK68" s="188">
        <f>1281590.32+1298278.68</f>
        <v>2579869</v>
      </c>
      <c r="AL68" s="188">
        <f>1281590.32+1298278.68</f>
        <v>2579869</v>
      </c>
      <c r="AM68" s="72"/>
      <c r="AN68" s="73"/>
      <c r="AO68" s="72"/>
      <c r="AP68" s="73"/>
      <c r="AQ68" s="200"/>
      <c r="AR68" s="202"/>
      <c r="AS68" s="72"/>
      <c r="AT68" s="73"/>
      <c r="AU68" s="75"/>
      <c r="AV68" s="76"/>
      <c r="AW68" s="72"/>
      <c r="AX68" s="73"/>
      <c r="AY68" s="77"/>
      <c r="AZ68" s="78"/>
      <c r="BA68" s="79"/>
    </row>
    <row r="69" spans="1:54" ht="12.75">
      <c r="A69" s="91" t="s">
        <v>66</v>
      </c>
      <c r="B69" s="92">
        <v>65</v>
      </c>
      <c r="C69" s="93">
        <v>8.8144092845725153E-3</v>
      </c>
      <c r="D69" s="221">
        <v>323439.24640779558</v>
      </c>
      <c r="E69" s="229">
        <v>317888.78551232541</v>
      </c>
      <c r="F69" s="10">
        <f>C69*Allocations!$B$6</f>
        <v>324976.69303104718</v>
      </c>
      <c r="G69" s="10">
        <f>C69*Allocations!$B$12</f>
        <v>154278.60570787272</v>
      </c>
      <c r="H69" s="12">
        <f t="shared" ref="H69:H103" si="22">SUM(D69:F69)</f>
        <v>966304.72495116829</v>
      </c>
      <c r="I69" s="16">
        <f t="shared" si="8"/>
        <v>1120583.3306590409</v>
      </c>
      <c r="J69" s="94">
        <f t="shared" ref="J69:J103" si="23">SUM(D69:F69)/3</f>
        <v>322101.57498372276</v>
      </c>
      <c r="K69" s="95">
        <v>-1143440.1541516923</v>
      </c>
      <c r="L69" s="96">
        <f t="shared" si="9"/>
        <v>-664184.85541277239</v>
      </c>
      <c r="M69" s="12">
        <f t="shared" ref="M69:M103" si="24">AC69+AE69+AG69+AI69+AK69+AM69+AO69+AQ69+AS69+AU69+AW69+AY69+BA69</f>
        <v>0</v>
      </c>
      <c r="N69" s="12">
        <f t="shared" ref="N69:N103" si="25">AD69+AF69+AH69+AJ69+AL69+AN69+AP69+AR69+AT69+AV69+AX69+AZ69+BA69</f>
        <v>0</v>
      </c>
      <c r="O69" s="97">
        <f t="shared" si="10"/>
        <v>-664184.85541277239</v>
      </c>
      <c r="P69" s="98">
        <f t="shared" ref="P69:P103" si="26">O69/J69</f>
        <v>-2.0620354167667037</v>
      </c>
      <c r="Q69" s="227">
        <f t="shared" ref="Q69:Q103" si="27">(F69*6)+O69</f>
        <v>1285675.3027735106</v>
      </c>
      <c r="R69" s="224"/>
      <c r="S69" s="222"/>
      <c r="T69" s="222"/>
      <c r="U69" s="222"/>
      <c r="V69" s="99">
        <f t="shared" ref="V69:V103" si="28">IF(((O69-H69)-(S69+U69))&gt;0,((O69-H69)-(S69+U69)),0)</f>
        <v>0</v>
      </c>
      <c r="W69" s="221">
        <f t="shared" si="11"/>
        <v>324976.69303104718</v>
      </c>
      <c r="X69" s="100">
        <f t="shared" ref="X69:X100" si="29">IF(W69&gt;0.01,F69/$W$104,0)</f>
        <v>8.8708992186443195E-3</v>
      </c>
      <c r="Y69" s="221">
        <f t="shared" si="12"/>
        <v>2818.733401008853</v>
      </c>
      <c r="Z69" s="221">
        <f>C69*Allocations!$B$11</f>
        <v>317556.98680205957</v>
      </c>
      <c r="AA69" s="229">
        <f t="shared" si="13"/>
        <v>154278.60570787272</v>
      </c>
      <c r="AB69" s="101">
        <f t="shared" si="14"/>
        <v>-668785.82824075106</v>
      </c>
      <c r="AC69" s="102"/>
      <c r="AD69" s="103"/>
      <c r="AE69" s="104"/>
      <c r="AF69" s="105"/>
      <c r="AG69" s="106"/>
      <c r="AH69" s="107"/>
      <c r="AI69" s="106"/>
      <c r="AJ69" s="107"/>
      <c r="AK69" s="106"/>
      <c r="AL69" s="107"/>
      <c r="AM69" s="106"/>
      <c r="AN69" s="107"/>
      <c r="AO69" s="106"/>
      <c r="AP69" s="107"/>
      <c r="AQ69" s="203"/>
      <c r="AR69" s="204"/>
      <c r="AS69" s="106"/>
      <c r="AT69" s="107"/>
      <c r="AU69" s="108"/>
      <c r="AV69" s="109"/>
      <c r="AW69" s="106"/>
      <c r="AX69" s="107"/>
      <c r="AY69" s="110"/>
      <c r="AZ69" s="111"/>
      <c r="BA69" s="112"/>
    </row>
    <row r="70" spans="1:54" ht="12.75">
      <c r="A70" s="113" t="s">
        <v>67</v>
      </c>
      <c r="B70" s="57">
        <v>66</v>
      </c>
      <c r="C70" s="58">
        <v>6.0442675154427916E-3</v>
      </c>
      <c r="D70" s="121">
        <v>326717.01828983513</v>
      </c>
      <c r="E70" s="228">
        <v>272257.23807248607</v>
      </c>
      <c r="F70" s="9">
        <f>C70*Allocations!$B$6</f>
        <v>222844.89017335718</v>
      </c>
      <c r="G70" s="9">
        <f>C70*Allocations!$B$12</f>
        <v>105792.81432279517</v>
      </c>
      <c r="H70" s="11">
        <f t="shared" si="22"/>
        <v>821819.14653567842</v>
      </c>
      <c r="I70" s="15">
        <f t="shared" ref="I70:I103" si="30">G70+H70</f>
        <v>927611.96085847355</v>
      </c>
      <c r="J70" s="59">
        <f t="shared" si="23"/>
        <v>273939.71551189281</v>
      </c>
      <c r="K70" s="60">
        <v>473056.50340596749</v>
      </c>
      <c r="L70" s="61">
        <f t="shared" ref="L70:L103" si="31">F70+G70+K70</f>
        <v>801694.20790211984</v>
      </c>
      <c r="M70" s="11">
        <f t="shared" si="24"/>
        <v>0</v>
      </c>
      <c r="N70" s="11">
        <f t="shared" si="25"/>
        <v>0</v>
      </c>
      <c r="O70" s="62">
        <f t="shared" ref="O70:O103" si="32">L70-N70</f>
        <v>801694.20790211984</v>
      </c>
      <c r="P70" s="80">
        <f t="shared" si="26"/>
        <v>2.92653515538646</v>
      </c>
      <c r="Q70" s="226">
        <f t="shared" si="27"/>
        <v>2138763.5489422628</v>
      </c>
      <c r="R70" s="223"/>
      <c r="S70" s="122"/>
      <c r="T70" s="122">
        <v>736617.42</v>
      </c>
      <c r="U70" s="122">
        <v>736617.42</v>
      </c>
      <c r="V70" s="65">
        <f t="shared" si="28"/>
        <v>0</v>
      </c>
      <c r="W70" s="121">
        <f t="shared" ref="W70:W103" si="33">IF(V70&gt;0,0,F70)</f>
        <v>222844.89017335718</v>
      </c>
      <c r="X70" s="66">
        <f t="shared" si="29"/>
        <v>6.0830041184795156E-3</v>
      </c>
      <c r="Y70" s="121">
        <f t="shared" ref="Y70:Y103" si="34">IF(X70&gt;0.000000001,X70*$V$104,0)</f>
        <v>1932.8781067871257</v>
      </c>
      <c r="Z70" s="121">
        <f>C70*Allocations!$B$11</f>
        <v>217757.00647223485</v>
      </c>
      <c r="AA70" s="228">
        <f t="shared" ref="AA70:AA103" si="35">G70</f>
        <v>105792.81432279517</v>
      </c>
      <c r="AB70" s="67">
        <f t="shared" ref="AB70:AB103" si="36">K70-N70+Y70+Z70+AA70-V70</f>
        <v>798539.20230778458</v>
      </c>
      <c r="AC70" s="68"/>
      <c r="AD70" s="69"/>
      <c r="AE70" s="83"/>
      <c r="AF70" s="84"/>
      <c r="AG70" s="72"/>
      <c r="AH70" s="73"/>
      <c r="AI70" s="72"/>
      <c r="AJ70" s="73"/>
      <c r="AK70" s="72"/>
      <c r="AL70" s="73"/>
      <c r="AM70" s="72"/>
      <c r="AN70" s="73"/>
      <c r="AO70" s="72"/>
      <c r="AP70" s="73"/>
      <c r="AQ70" s="200"/>
      <c r="AR70" s="202"/>
      <c r="AS70" s="72"/>
      <c r="AT70" s="73"/>
      <c r="AU70" s="75"/>
      <c r="AV70" s="76"/>
      <c r="AW70" s="72"/>
      <c r="AX70" s="73"/>
      <c r="AY70" s="77"/>
      <c r="AZ70" s="78"/>
      <c r="BA70" s="79"/>
    </row>
    <row r="71" spans="1:54" ht="12.75">
      <c r="A71" s="113" t="s">
        <v>68</v>
      </c>
      <c r="B71" s="57">
        <v>67</v>
      </c>
      <c r="C71" s="58">
        <v>1.4422711457266306E-2</v>
      </c>
      <c r="D71" s="121">
        <v>533259.88118538982</v>
      </c>
      <c r="E71" s="228">
        <v>532536.73825994425</v>
      </c>
      <c r="F71" s="9">
        <f>C71*Allocations!$B$6</f>
        <v>531748.06417566002</v>
      </c>
      <c r="G71" s="9">
        <f>C71*Allocations!$B$12</f>
        <v>252440.71863653211</v>
      </c>
      <c r="H71" s="11">
        <f t="shared" si="22"/>
        <v>1597544.6836209942</v>
      </c>
      <c r="I71" s="15">
        <f t="shared" si="30"/>
        <v>1849985.4022575263</v>
      </c>
      <c r="J71" s="59">
        <f t="shared" si="23"/>
        <v>532514.89454033144</v>
      </c>
      <c r="K71" s="60">
        <v>419650.78954639926</v>
      </c>
      <c r="L71" s="61">
        <f t="shared" si="31"/>
        <v>1203839.5723585915</v>
      </c>
      <c r="M71" s="11">
        <f t="shared" si="24"/>
        <v>3538327.83</v>
      </c>
      <c r="N71" s="11">
        <f t="shared" si="25"/>
        <v>2926290.83</v>
      </c>
      <c r="O71" s="62">
        <f t="shared" si="32"/>
        <v>-1722451.2576414086</v>
      </c>
      <c r="P71" s="80">
        <f t="shared" si="26"/>
        <v>-3.2345597753246582</v>
      </c>
      <c r="Q71" s="226">
        <f t="shared" si="27"/>
        <v>1468037.1274125515</v>
      </c>
      <c r="R71" s="223">
        <v>1762920.55</v>
      </c>
      <c r="S71" s="122">
        <v>1762920.55</v>
      </c>
      <c r="T71" s="122"/>
      <c r="U71" s="122"/>
      <c r="V71" s="65">
        <f t="shared" si="28"/>
        <v>0</v>
      </c>
      <c r="W71" s="121">
        <f t="shared" si="33"/>
        <v>531748.06417566002</v>
      </c>
      <c r="X71" s="66">
        <f t="shared" si="29"/>
        <v>1.4515143972373542E-2</v>
      </c>
      <c r="Y71" s="121">
        <f t="shared" si="34"/>
        <v>4612.1954637237204</v>
      </c>
      <c r="Z71" s="121">
        <f>C71*Allocations!$B$11</f>
        <v>519607.45683789224</v>
      </c>
      <c r="AA71" s="228">
        <f t="shared" si="35"/>
        <v>252440.71863653211</v>
      </c>
      <c r="AB71" s="67">
        <f t="shared" si="36"/>
        <v>-1729979.6695154528</v>
      </c>
      <c r="AC71" s="87">
        <v>1022190.43</v>
      </c>
      <c r="AD71" s="88">
        <v>1022190.43</v>
      </c>
      <c r="AE71" s="126"/>
      <c r="AF71" s="84"/>
      <c r="AG71" s="72">
        <f>465735+498614+1551788.4</f>
        <v>2516137.4</v>
      </c>
      <c r="AH71" s="190">
        <f>372588+280134+1251378.4</f>
        <v>1904100.4</v>
      </c>
      <c r="AI71" s="72"/>
      <c r="AJ71" s="73"/>
      <c r="AK71" s="72"/>
      <c r="AL71" s="73"/>
      <c r="AM71" s="72"/>
      <c r="AN71" s="73"/>
      <c r="AO71" s="72"/>
      <c r="AP71" s="73"/>
      <c r="AQ71" s="200"/>
      <c r="AR71" s="202"/>
      <c r="AS71" s="72"/>
      <c r="AT71" s="73"/>
      <c r="AU71" s="75"/>
      <c r="AV71" s="76"/>
      <c r="AW71" s="72"/>
      <c r="AX71" s="73"/>
      <c r="AY71" s="77"/>
      <c r="AZ71" s="78"/>
      <c r="BA71" s="79"/>
    </row>
    <row r="72" spans="1:54" ht="12.75">
      <c r="A72" s="113" t="s">
        <v>69</v>
      </c>
      <c r="B72" s="57">
        <v>68</v>
      </c>
      <c r="C72" s="58">
        <v>8.8869630540956198E-3</v>
      </c>
      <c r="D72" s="121">
        <v>372085.9450392641</v>
      </c>
      <c r="E72" s="228">
        <v>331641.98609967239</v>
      </c>
      <c r="F72" s="9">
        <f>C72*Allocations!$B$6</f>
        <v>327651.66344884061</v>
      </c>
      <c r="G72" s="9">
        <f>C72*Allocations!$B$12</f>
        <v>155548.51433583561</v>
      </c>
      <c r="H72" s="11">
        <f t="shared" si="22"/>
        <v>1031379.594587777</v>
      </c>
      <c r="I72" s="15">
        <f t="shared" si="30"/>
        <v>1186928.1089236126</v>
      </c>
      <c r="J72" s="59">
        <f t="shared" si="23"/>
        <v>343793.19819592568</v>
      </c>
      <c r="K72" s="60">
        <v>366475.44794050843</v>
      </c>
      <c r="L72" s="61">
        <f t="shared" si="31"/>
        <v>849675.62572518457</v>
      </c>
      <c r="M72" s="11">
        <f t="shared" si="24"/>
        <v>0</v>
      </c>
      <c r="N72" s="11">
        <f t="shared" si="25"/>
        <v>0</v>
      </c>
      <c r="O72" s="62">
        <f t="shared" si="32"/>
        <v>849675.62572518457</v>
      </c>
      <c r="P72" s="80">
        <f t="shared" si="26"/>
        <v>2.471473054684926</v>
      </c>
      <c r="Q72" s="226">
        <f t="shared" si="27"/>
        <v>2815585.6064182282</v>
      </c>
      <c r="R72" s="223">
        <v>741562.5</v>
      </c>
      <c r="S72" s="122">
        <v>331912.5</v>
      </c>
      <c r="T72" s="122"/>
      <c r="U72" s="122"/>
      <c r="V72" s="65">
        <f t="shared" si="28"/>
        <v>0</v>
      </c>
      <c r="W72" s="121">
        <f t="shared" si="33"/>
        <v>327651.66344884061</v>
      </c>
      <c r="X72" s="66">
        <f t="shared" si="29"/>
        <v>8.9439179719825266E-3</v>
      </c>
      <c r="Y72" s="121">
        <f t="shared" si="34"/>
        <v>2841.9351524729941</v>
      </c>
      <c r="Z72" s="121">
        <f>C72*Allocations!$B$11</f>
        <v>320170.88362566341</v>
      </c>
      <c r="AA72" s="228">
        <f t="shared" si="35"/>
        <v>155548.51433583561</v>
      </c>
      <c r="AB72" s="67">
        <f t="shared" si="36"/>
        <v>845036.78105448047</v>
      </c>
      <c r="AC72" s="81"/>
      <c r="AD72" s="82"/>
      <c r="AE72" s="83"/>
      <c r="AF72" s="84"/>
      <c r="AG72" s="72"/>
      <c r="AH72" s="73"/>
      <c r="AI72" s="72"/>
      <c r="AJ72" s="73"/>
      <c r="AK72" s="72"/>
      <c r="AL72" s="73"/>
      <c r="AM72" s="72"/>
      <c r="AN72" s="73"/>
      <c r="AO72" s="72"/>
      <c r="AP72" s="73"/>
      <c r="AQ72" s="200"/>
      <c r="AR72" s="202"/>
      <c r="AS72" s="72"/>
      <c r="AT72" s="73"/>
      <c r="AU72" s="75"/>
      <c r="AV72" s="76"/>
      <c r="AW72" s="72"/>
      <c r="AX72" s="73"/>
      <c r="AY72" s="77"/>
      <c r="AZ72" s="78"/>
      <c r="BA72" s="79"/>
    </row>
    <row r="73" spans="1:54" ht="12.75">
      <c r="A73" s="113" t="s">
        <v>70</v>
      </c>
      <c r="B73" s="57">
        <v>69</v>
      </c>
      <c r="C73" s="58">
        <v>1.3156624483085798E-2</v>
      </c>
      <c r="D73" s="121">
        <v>588691.76168027963</v>
      </c>
      <c r="E73" s="228">
        <v>538269.31343813811</v>
      </c>
      <c r="F73" s="9">
        <f>C73*Allocations!$B$6</f>
        <v>485068.95674199366</v>
      </c>
      <c r="G73" s="9">
        <f>C73*Allocations!$B$12</f>
        <v>230280.39832745068</v>
      </c>
      <c r="H73" s="11">
        <f t="shared" si="22"/>
        <v>1612030.0318604116</v>
      </c>
      <c r="I73" s="15">
        <f t="shared" si="30"/>
        <v>1842310.4301878624</v>
      </c>
      <c r="J73" s="59">
        <f t="shared" si="23"/>
        <v>537343.34395347058</v>
      </c>
      <c r="K73" s="60">
        <v>235578.975505843</v>
      </c>
      <c r="L73" s="61">
        <f t="shared" si="31"/>
        <v>950928.33057528734</v>
      </c>
      <c r="M73" s="11">
        <f t="shared" si="24"/>
        <v>0</v>
      </c>
      <c r="N73" s="11">
        <f t="shared" si="25"/>
        <v>0</v>
      </c>
      <c r="O73" s="62">
        <f t="shared" si="32"/>
        <v>950928.33057528734</v>
      </c>
      <c r="P73" s="80">
        <f t="shared" si="26"/>
        <v>1.7696847672456324</v>
      </c>
      <c r="Q73" s="226">
        <f t="shared" si="27"/>
        <v>3861342.0710272491</v>
      </c>
      <c r="R73" s="223"/>
      <c r="S73" s="122"/>
      <c r="T73" s="122"/>
      <c r="U73" s="122"/>
      <c r="V73" s="65">
        <f t="shared" si="28"/>
        <v>0</v>
      </c>
      <c r="W73" s="121">
        <f t="shared" si="33"/>
        <v>485068.95674199366</v>
      </c>
      <c r="X73" s="66">
        <f t="shared" si="29"/>
        <v>1.3240942878756146E-2</v>
      </c>
      <c r="Y73" s="121">
        <f t="shared" si="34"/>
        <v>4207.3173230012235</v>
      </c>
      <c r="Z73" s="121">
        <f>C73*Allocations!$B$11</f>
        <v>473994.10356942099</v>
      </c>
      <c r="AA73" s="228">
        <f t="shared" si="35"/>
        <v>230280.39832745068</v>
      </c>
      <c r="AB73" s="67">
        <f t="shared" si="36"/>
        <v>944060.79472571588</v>
      </c>
      <c r="AC73" s="81"/>
      <c r="AD73" s="82"/>
      <c r="AE73" s="83"/>
      <c r="AF73" s="84"/>
      <c r="AG73" s="72"/>
      <c r="AH73" s="73"/>
      <c r="AI73" s="72"/>
      <c r="AJ73" s="73"/>
      <c r="AK73" s="72"/>
      <c r="AL73" s="73"/>
      <c r="AM73" s="72"/>
      <c r="AN73" s="73"/>
      <c r="AO73" s="72"/>
      <c r="AP73" s="73"/>
      <c r="AQ73" s="200"/>
      <c r="AR73" s="202"/>
      <c r="AS73" s="72"/>
      <c r="AT73" s="73"/>
      <c r="AU73" s="75"/>
      <c r="AV73" s="76"/>
      <c r="AW73" s="72"/>
      <c r="AX73" s="73"/>
      <c r="AY73" s="77"/>
      <c r="AZ73" s="78"/>
      <c r="BA73" s="79"/>
    </row>
    <row r="74" spans="1:54" ht="12.75">
      <c r="A74" s="91" t="s">
        <v>71</v>
      </c>
      <c r="B74" s="92">
        <v>70</v>
      </c>
      <c r="C74" s="93">
        <v>1.1792143376296636E-2</v>
      </c>
      <c r="D74" s="221">
        <v>410162.46115359536</v>
      </c>
      <c r="E74" s="229">
        <v>414505.86542712379</v>
      </c>
      <c r="F74" s="10">
        <f>C74*Allocations!$B$6</f>
        <v>434762.17571200541</v>
      </c>
      <c r="G74" s="10">
        <f>C74*Allocations!$B$12</f>
        <v>206397.88551531997</v>
      </c>
      <c r="H74" s="12">
        <f t="shared" si="22"/>
        <v>1259430.5022927246</v>
      </c>
      <c r="I74" s="16">
        <f t="shared" si="30"/>
        <v>1465828.3878080444</v>
      </c>
      <c r="J74" s="94">
        <f t="shared" si="23"/>
        <v>419810.16743090819</v>
      </c>
      <c r="K74" s="95">
        <v>15546.910725393682</v>
      </c>
      <c r="L74" s="96">
        <f t="shared" si="31"/>
        <v>656706.97195271903</v>
      </c>
      <c r="M74" s="12">
        <f t="shared" si="24"/>
        <v>266037.7</v>
      </c>
      <c r="N74" s="12">
        <f t="shared" si="25"/>
        <v>266037.7</v>
      </c>
      <c r="O74" s="97">
        <f t="shared" si="32"/>
        <v>390669.27195271902</v>
      </c>
      <c r="P74" s="98">
        <f t="shared" si="26"/>
        <v>0.93058554142096828</v>
      </c>
      <c r="Q74" s="227">
        <f t="shared" si="27"/>
        <v>2999242.3262247513</v>
      </c>
      <c r="R74" s="224"/>
      <c r="S74" s="222"/>
      <c r="T74" s="222"/>
      <c r="U74" s="222"/>
      <c r="V74" s="99">
        <f t="shared" si="28"/>
        <v>0</v>
      </c>
      <c r="W74" s="221">
        <f t="shared" si="33"/>
        <v>434762.17571200541</v>
      </c>
      <c r="X74" s="100">
        <f t="shared" si="29"/>
        <v>1.1867717062562618E-2</v>
      </c>
      <c r="Y74" s="221">
        <f t="shared" si="34"/>
        <v>3770.974018920278</v>
      </c>
      <c r="Z74" s="221">
        <f>C74*Allocations!$B$11</f>
        <v>424835.90194396517</v>
      </c>
      <c r="AA74" s="229">
        <f t="shared" si="35"/>
        <v>206397.88551531997</v>
      </c>
      <c r="AB74" s="101">
        <f t="shared" si="36"/>
        <v>384513.97220359906</v>
      </c>
      <c r="AC74" s="116">
        <v>266037.7</v>
      </c>
      <c r="AD74" s="117">
        <v>266037.7</v>
      </c>
      <c r="AE74" s="104"/>
      <c r="AF74" s="105"/>
      <c r="AG74" s="106"/>
      <c r="AH74" s="107"/>
      <c r="AI74" s="106"/>
      <c r="AJ74" s="107"/>
      <c r="AK74" s="106"/>
      <c r="AL74" s="107"/>
      <c r="AM74" s="106"/>
      <c r="AN74" s="107"/>
      <c r="AO74" s="106"/>
      <c r="AP74" s="107"/>
      <c r="AQ74" s="203"/>
      <c r="AR74" s="204"/>
      <c r="AS74" s="106"/>
      <c r="AT74" s="107"/>
      <c r="AU74" s="108"/>
      <c r="AV74" s="109"/>
      <c r="AW74" s="106"/>
      <c r="AX74" s="107"/>
      <c r="AY74" s="110"/>
      <c r="AZ74" s="111"/>
      <c r="BA74" s="112"/>
    </row>
    <row r="75" spans="1:54" ht="12.75">
      <c r="A75" s="113" t="s">
        <v>72</v>
      </c>
      <c r="B75" s="57">
        <v>71</v>
      </c>
      <c r="C75" s="58">
        <v>4.6676649467336908E-3</v>
      </c>
      <c r="D75" s="121">
        <v>201262.03445047754</v>
      </c>
      <c r="E75" s="228">
        <v>179303.93980685438</v>
      </c>
      <c r="F75" s="9">
        <f>C75*Allocations!$B$6</f>
        <v>172091.2053881351</v>
      </c>
      <c r="G75" s="9">
        <f>C75*Allocations!$B$12</f>
        <v>81698.139562679775</v>
      </c>
      <c r="H75" s="11">
        <f t="shared" si="22"/>
        <v>552657.17964546708</v>
      </c>
      <c r="I75" s="15">
        <f t="shared" si="30"/>
        <v>634355.31920814689</v>
      </c>
      <c r="J75" s="59">
        <f t="shared" si="23"/>
        <v>184219.05988182235</v>
      </c>
      <c r="K75" s="60">
        <v>43812.541293813556</v>
      </c>
      <c r="L75" s="61">
        <f t="shared" si="31"/>
        <v>297601.88624462846</v>
      </c>
      <c r="M75" s="11">
        <f t="shared" si="24"/>
        <v>0</v>
      </c>
      <c r="N75" s="11">
        <f t="shared" si="25"/>
        <v>0</v>
      </c>
      <c r="O75" s="62">
        <f t="shared" si="32"/>
        <v>297601.88624462846</v>
      </c>
      <c r="P75" s="80">
        <f t="shared" si="26"/>
        <v>1.6154782596086523</v>
      </c>
      <c r="Q75" s="226">
        <f t="shared" si="27"/>
        <v>1330149.1185734391</v>
      </c>
      <c r="R75" s="223"/>
      <c r="S75" s="122"/>
      <c r="T75" s="122"/>
      <c r="U75" s="122"/>
      <c r="V75" s="65">
        <f t="shared" si="28"/>
        <v>0</v>
      </c>
      <c r="W75" s="121">
        <f t="shared" si="33"/>
        <v>172091.2053881351</v>
      </c>
      <c r="X75" s="66">
        <f t="shared" si="29"/>
        <v>4.6975791561375763E-3</v>
      </c>
      <c r="Y75" s="121">
        <f t="shared" si="34"/>
        <v>1492.6585169019129</v>
      </c>
      <c r="Z75" s="121">
        <f>C75*Allocations!$B$11</f>
        <v>168162.10457581829</v>
      </c>
      <c r="AA75" s="228">
        <f t="shared" si="35"/>
        <v>81698.139562679775</v>
      </c>
      <c r="AB75" s="67">
        <f t="shared" si="36"/>
        <v>295165.44394921354</v>
      </c>
      <c r="AC75" s="81"/>
      <c r="AD75" s="82"/>
      <c r="AE75" s="83"/>
      <c r="AF75" s="84"/>
      <c r="AG75" s="72"/>
      <c r="AH75" s="73"/>
      <c r="AI75" s="72"/>
      <c r="AJ75" s="73"/>
      <c r="AK75" s="72"/>
      <c r="AL75" s="73"/>
      <c r="AM75" s="72"/>
      <c r="AN75" s="73"/>
      <c r="AO75" s="72"/>
      <c r="AP75" s="73"/>
      <c r="AQ75" s="200"/>
      <c r="AR75" s="202"/>
      <c r="AS75" s="72"/>
      <c r="AT75" s="73"/>
      <c r="AU75" s="75"/>
      <c r="AV75" s="76"/>
      <c r="AW75" s="72"/>
      <c r="AX75" s="73"/>
      <c r="AY75" s="77"/>
      <c r="AZ75" s="78"/>
      <c r="BA75" s="79"/>
    </row>
    <row r="76" spans="1:54" ht="12.75">
      <c r="A76" s="113" t="s">
        <v>73</v>
      </c>
      <c r="B76" s="57">
        <v>72</v>
      </c>
      <c r="C76" s="58">
        <v>4.005091492767481E-3</v>
      </c>
      <c r="D76" s="121">
        <v>112866.53426737817</v>
      </c>
      <c r="E76" s="228">
        <v>159427.67183575494</v>
      </c>
      <c r="F76" s="9">
        <f>C76*Allocations!$B$6</f>
        <v>147662.9172285457</v>
      </c>
      <c r="G76" s="9">
        <f>C76*Allocations!$B$12</f>
        <v>70101.116397909209</v>
      </c>
      <c r="H76" s="11">
        <f t="shared" si="22"/>
        <v>419957.1233316788</v>
      </c>
      <c r="I76" s="15">
        <f t="shared" si="30"/>
        <v>490058.23972958804</v>
      </c>
      <c r="J76" s="59">
        <f t="shared" si="23"/>
        <v>139985.70777722626</v>
      </c>
      <c r="K76" s="60">
        <v>78893.800480476129</v>
      </c>
      <c r="L76" s="61">
        <f t="shared" si="31"/>
        <v>296657.83410693106</v>
      </c>
      <c r="M76" s="11">
        <f t="shared" si="24"/>
        <v>0</v>
      </c>
      <c r="N76" s="11">
        <f t="shared" si="25"/>
        <v>0</v>
      </c>
      <c r="O76" s="62">
        <f t="shared" si="32"/>
        <v>296657.83410693106</v>
      </c>
      <c r="P76" s="80">
        <f t="shared" si="26"/>
        <v>2.1192008728422</v>
      </c>
      <c r="Q76" s="226">
        <f t="shared" si="27"/>
        <v>1182635.3374782053</v>
      </c>
      <c r="R76" s="223"/>
      <c r="S76" s="122"/>
      <c r="T76" s="122"/>
      <c r="U76" s="122"/>
      <c r="V76" s="65">
        <f t="shared" si="28"/>
        <v>0</v>
      </c>
      <c r="W76" s="121">
        <f t="shared" si="33"/>
        <v>147662.9172285457</v>
      </c>
      <c r="X76" s="66">
        <f t="shared" si="29"/>
        <v>4.0307593903058858E-3</v>
      </c>
      <c r="Y76" s="121">
        <f t="shared" si="34"/>
        <v>1280.7761473612597</v>
      </c>
      <c r="Z76" s="121">
        <f>C76*Allocations!$B$11</f>
        <v>144291.55094214424</v>
      </c>
      <c r="AA76" s="228">
        <f t="shared" si="35"/>
        <v>70101.116397909209</v>
      </c>
      <c r="AB76" s="67">
        <f t="shared" si="36"/>
        <v>294567.24396789086</v>
      </c>
      <c r="AC76" s="81"/>
      <c r="AD76" s="82"/>
      <c r="AE76" s="83"/>
      <c r="AF76" s="84"/>
      <c r="AG76" s="72"/>
      <c r="AH76" s="73"/>
      <c r="AI76" s="72"/>
      <c r="AJ76" s="73"/>
      <c r="AK76" s="72"/>
      <c r="AL76" s="73"/>
      <c r="AM76" s="72"/>
      <c r="AN76" s="73"/>
      <c r="AO76" s="72"/>
      <c r="AP76" s="73"/>
      <c r="AQ76" s="200"/>
      <c r="AR76" s="202"/>
      <c r="AS76" s="72"/>
      <c r="AT76" s="73"/>
      <c r="AU76" s="75"/>
      <c r="AV76" s="76"/>
      <c r="AW76" s="72"/>
      <c r="AX76" s="73"/>
      <c r="AY76" s="77"/>
      <c r="AZ76" s="78"/>
      <c r="BA76" s="79"/>
    </row>
    <row r="77" spans="1:54" ht="12.75">
      <c r="A77" s="113" t="s">
        <v>74</v>
      </c>
      <c r="B77" s="57">
        <v>73</v>
      </c>
      <c r="C77" s="58">
        <v>1.537711877496041E-2</v>
      </c>
      <c r="D77" s="121">
        <v>488468.63273970952</v>
      </c>
      <c r="E77" s="228">
        <v>540405.57043327717</v>
      </c>
      <c r="F77" s="9">
        <f>C77*Allocations!$B$6</f>
        <v>566935.9166902604</v>
      </c>
      <c r="G77" s="9">
        <f>C77*Allocations!$B$12</f>
        <v>269145.70991813199</v>
      </c>
      <c r="H77" s="11">
        <f t="shared" si="22"/>
        <v>1595810.119863247</v>
      </c>
      <c r="I77" s="15">
        <f t="shared" si="30"/>
        <v>1864955.8297813791</v>
      </c>
      <c r="J77" s="59">
        <f t="shared" si="23"/>
        <v>531936.70662108238</v>
      </c>
      <c r="K77" s="60">
        <v>-882691.22704307362</v>
      </c>
      <c r="L77" s="61">
        <f t="shared" si="31"/>
        <v>-46609.600434681168</v>
      </c>
      <c r="M77" s="11">
        <f t="shared" si="24"/>
        <v>1103253.7</v>
      </c>
      <c r="N77" s="11">
        <f t="shared" si="25"/>
        <v>748223.7</v>
      </c>
      <c r="O77" s="62">
        <f t="shared" si="32"/>
        <v>-794833.30043468112</v>
      </c>
      <c r="P77" s="80">
        <f t="shared" si="26"/>
        <v>-1.4942253289560432</v>
      </c>
      <c r="Q77" s="226">
        <f t="shared" si="27"/>
        <v>2606782.1997068813</v>
      </c>
      <c r="R77" s="223"/>
      <c r="S77" s="122"/>
      <c r="T77" s="122"/>
      <c r="U77" s="122"/>
      <c r="V77" s="65">
        <f t="shared" si="28"/>
        <v>0</v>
      </c>
      <c r="W77" s="121">
        <f t="shared" si="33"/>
        <v>566935.9166902604</v>
      </c>
      <c r="X77" s="66">
        <f t="shared" si="29"/>
        <v>1.5475667911694073E-2</v>
      </c>
      <c r="Y77" s="121">
        <f t="shared" si="34"/>
        <v>4917.4025057044255</v>
      </c>
      <c r="Z77" s="121">
        <f>C77*Allocations!$B$11</f>
        <v>553991.91780446458</v>
      </c>
      <c r="AA77" s="228">
        <f t="shared" si="35"/>
        <v>269145.70991813199</v>
      </c>
      <c r="AB77" s="67">
        <f t="shared" si="36"/>
        <v>-802859.89681477239</v>
      </c>
      <c r="AC77" s="87"/>
      <c r="AD77" s="88"/>
      <c r="AE77" s="83"/>
      <c r="AF77" s="84"/>
      <c r="AG77" s="72"/>
      <c r="AH77" s="73"/>
      <c r="AI77" s="72"/>
      <c r="AJ77" s="73"/>
      <c r="AK77" s="72"/>
      <c r="AL77" s="73"/>
      <c r="AM77" s="188">
        <v>374256.25</v>
      </c>
      <c r="AN77" s="59">
        <v>374256.25</v>
      </c>
      <c r="AO77" s="72"/>
      <c r="AP77" s="73"/>
      <c r="AQ77" s="200"/>
      <c r="AR77" s="202"/>
      <c r="AS77" s="72"/>
      <c r="AT77" s="73"/>
      <c r="AU77" s="75"/>
      <c r="AV77" s="76"/>
      <c r="AW77" s="72"/>
      <c r="AX77" s="73"/>
      <c r="AY77" s="118">
        <v>728997.45</v>
      </c>
      <c r="AZ77" s="119">
        <v>373967.45</v>
      </c>
      <c r="BA77" s="79"/>
    </row>
    <row r="78" spans="1:54" ht="12.75">
      <c r="A78" s="113" t="s">
        <v>75</v>
      </c>
      <c r="B78" s="57">
        <v>74</v>
      </c>
      <c r="C78" s="58">
        <v>5.2318953168313852E-3</v>
      </c>
      <c r="D78" s="121">
        <v>189363.69742295024</v>
      </c>
      <c r="E78" s="228">
        <v>189285.88424940064</v>
      </c>
      <c r="F78" s="9">
        <f>C78*Allocations!$B$6</f>
        <v>192893.70205719298</v>
      </c>
      <c r="G78" s="9">
        <f>C78*Allocations!$B$12</f>
        <v>91573.86373049971</v>
      </c>
      <c r="H78" s="11">
        <f t="shared" si="22"/>
        <v>571543.28372954391</v>
      </c>
      <c r="I78" s="15">
        <f t="shared" si="30"/>
        <v>663117.14746004366</v>
      </c>
      <c r="J78" s="59">
        <f t="shared" si="23"/>
        <v>190514.42790984796</v>
      </c>
      <c r="K78" s="60">
        <v>558529.46847655578</v>
      </c>
      <c r="L78" s="61">
        <f t="shared" si="31"/>
        <v>842997.03426424845</v>
      </c>
      <c r="M78" s="11">
        <f t="shared" si="24"/>
        <v>569573.19999999995</v>
      </c>
      <c r="N78" s="11">
        <f t="shared" si="25"/>
        <v>326514.2</v>
      </c>
      <c r="O78" s="62">
        <f t="shared" si="32"/>
        <v>516482.83426424843</v>
      </c>
      <c r="P78" s="80">
        <f t="shared" si="26"/>
        <v>2.7109906579288041</v>
      </c>
      <c r="Q78" s="226">
        <f t="shared" si="27"/>
        <v>1673845.0466074061</v>
      </c>
      <c r="R78" s="223"/>
      <c r="S78" s="122"/>
      <c r="T78" s="122"/>
      <c r="U78" s="122"/>
      <c r="V78" s="65">
        <f t="shared" si="28"/>
        <v>0</v>
      </c>
      <c r="W78" s="121">
        <f t="shared" si="33"/>
        <v>192893.70205719298</v>
      </c>
      <c r="X78" s="66">
        <f t="shared" si="29"/>
        <v>5.2654255752952921E-3</v>
      </c>
      <c r="Y78" s="121">
        <f t="shared" si="34"/>
        <v>1673.0920478069947</v>
      </c>
      <c r="Z78" s="121">
        <f>C78*Allocations!$B$11</f>
        <v>188489.64898699484</v>
      </c>
      <c r="AA78" s="228">
        <f t="shared" si="35"/>
        <v>91573.86373049971</v>
      </c>
      <c r="AB78" s="67">
        <f t="shared" si="36"/>
        <v>513751.87324185733</v>
      </c>
      <c r="AC78" s="87"/>
      <c r="AD78" s="88"/>
      <c r="AE78" s="83"/>
      <c r="AF78" s="84"/>
      <c r="AG78" s="72"/>
      <c r="AH78" s="73"/>
      <c r="AI78" s="188">
        <v>569573.19999999995</v>
      </c>
      <c r="AJ78" s="73">
        <v>326514.2</v>
      </c>
      <c r="AK78" s="72"/>
      <c r="AL78" s="73"/>
      <c r="AM78" s="72"/>
      <c r="AN78" s="73"/>
      <c r="AO78" s="72"/>
      <c r="AP78" s="73"/>
      <c r="AQ78" s="200"/>
      <c r="AR78" s="202"/>
      <c r="AS78" s="72"/>
      <c r="AT78" s="73"/>
      <c r="AU78" s="75"/>
      <c r="AV78" s="76"/>
      <c r="AW78" s="72"/>
      <c r="AX78" s="73"/>
      <c r="AY78" s="77"/>
      <c r="AZ78" s="78"/>
      <c r="BA78" s="79"/>
    </row>
    <row r="79" spans="1:54" s="114" customFormat="1" ht="12.75">
      <c r="A79" s="127" t="s">
        <v>76</v>
      </c>
      <c r="B79" s="128">
        <v>75</v>
      </c>
      <c r="C79" s="129">
        <v>1.4004522237195069E-2</v>
      </c>
      <c r="D79" s="12">
        <v>582428.19044720416</v>
      </c>
      <c r="E79" s="231">
        <v>533570.51368234947</v>
      </c>
      <c r="F79" s="10">
        <f>C79*Allocations!$B$6</f>
        <v>516329.92945869756</v>
      </c>
      <c r="G79" s="10">
        <f>C79*Allocations!$B$12</f>
        <v>245121.15271762526</v>
      </c>
      <c r="H79" s="12">
        <f t="shared" si="22"/>
        <v>1632328.6335882512</v>
      </c>
      <c r="I79" s="16">
        <f t="shared" si="30"/>
        <v>1877449.7863058764</v>
      </c>
      <c r="J79" s="94">
        <f t="shared" si="23"/>
        <v>544109.54452941706</v>
      </c>
      <c r="K79" s="95">
        <v>-684976.00714003935</v>
      </c>
      <c r="L79" s="96">
        <f t="shared" si="31"/>
        <v>76475.075036283466</v>
      </c>
      <c r="M79" s="12">
        <f t="shared" si="24"/>
        <v>491300.55</v>
      </c>
      <c r="N79" s="12">
        <f t="shared" si="25"/>
        <v>491300.55</v>
      </c>
      <c r="O79" s="97">
        <f t="shared" si="32"/>
        <v>-414825.47496371652</v>
      </c>
      <c r="P79" s="98">
        <f t="shared" si="26"/>
        <v>-0.76239330688912244</v>
      </c>
      <c r="Q79" s="227">
        <f t="shared" si="27"/>
        <v>2683154.1017884687</v>
      </c>
      <c r="R79" s="225"/>
      <c r="S79" s="16"/>
      <c r="T79" s="16"/>
      <c r="U79" s="16"/>
      <c r="V79" s="99">
        <f t="shared" si="28"/>
        <v>0</v>
      </c>
      <c r="W79" s="12">
        <f t="shared" si="33"/>
        <v>516329.92945869756</v>
      </c>
      <c r="X79" s="130">
        <f t="shared" si="29"/>
        <v>1.4094274654214199E-2</v>
      </c>
      <c r="Y79" s="12">
        <f t="shared" si="34"/>
        <v>4478.4639923907771</v>
      </c>
      <c r="Z79" s="12">
        <f>C79*Allocations!$B$11</f>
        <v>504541.3413046191</v>
      </c>
      <c r="AA79" s="231">
        <f t="shared" si="35"/>
        <v>245121.15271762526</v>
      </c>
      <c r="AB79" s="131">
        <f t="shared" si="36"/>
        <v>-422135.59912540414</v>
      </c>
      <c r="AC79" s="102"/>
      <c r="AD79" s="103"/>
      <c r="AE79" s="104"/>
      <c r="AF79" s="105"/>
      <c r="AG79" s="106"/>
      <c r="AH79" s="107"/>
      <c r="AI79" s="106"/>
      <c r="AJ79" s="107"/>
      <c r="AK79" s="106"/>
      <c r="AL79" s="132"/>
      <c r="AM79" s="106"/>
      <c r="AN79" s="107"/>
      <c r="AO79" s="187">
        <v>491300.55</v>
      </c>
      <c r="AP79" s="94">
        <v>491300.55</v>
      </c>
      <c r="AQ79" s="203"/>
      <c r="AR79" s="204"/>
      <c r="AS79" s="106"/>
      <c r="AT79" s="107"/>
      <c r="AU79" s="108"/>
      <c r="AV79" s="109"/>
      <c r="AW79" s="106"/>
      <c r="AX79" s="107"/>
      <c r="AY79" s="110"/>
      <c r="AZ79" s="111"/>
      <c r="BA79" s="112"/>
      <c r="BB79" s="30"/>
    </row>
    <row r="80" spans="1:54" ht="12.75">
      <c r="A80" s="113" t="s">
        <v>77</v>
      </c>
      <c r="B80" s="57">
        <v>76</v>
      </c>
      <c r="C80" s="58">
        <v>6.368005393757461E-3</v>
      </c>
      <c r="D80" s="121">
        <v>204719.74064650454</v>
      </c>
      <c r="E80" s="228">
        <v>229985.53905259739</v>
      </c>
      <c r="F80" s="9">
        <f>C80*Allocations!$B$6</f>
        <v>234780.71726136509</v>
      </c>
      <c r="G80" s="9">
        <f>C80*Allocations!$B$12</f>
        <v>111459.19840693682</v>
      </c>
      <c r="H80" s="11">
        <f t="shared" si="22"/>
        <v>669485.99696046696</v>
      </c>
      <c r="I80" s="15">
        <f t="shared" si="30"/>
        <v>780945.19536740379</v>
      </c>
      <c r="J80" s="59">
        <f t="shared" si="23"/>
        <v>223161.99898682232</v>
      </c>
      <c r="K80" s="60">
        <v>640996.66457966424</v>
      </c>
      <c r="L80" s="61">
        <f t="shared" si="31"/>
        <v>987236.58024796611</v>
      </c>
      <c r="M80" s="11">
        <f t="shared" si="24"/>
        <v>0</v>
      </c>
      <c r="N80" s="11">
        <f t="shared" si="25"/>
        <v>0</v>
      </c>
      <c r="O80" s="62">
        <f t="shared" si="32"/>
        <v>987236.58024796611</v>
      </c>
      <c r="P80" s="80">
        <f t="shared" si="26"/>
        <v>4.42385614365402</v>
      </c>
      <c r="Q80" s="226">
        <f t="shared" si="27"/>
        <v>2395920.8838161565</v>
      </c>
      <c r="R80" s="223"/>
      <c r="S80" s="122"/>
      <c r="T80" s="122"/>
      <c r="U80" s="122"/>
      <c r="V80" s="65">
        <f t="shared" si="28"/>
        <v>317750.58328749915</v>
      </c>
      <c r="W80" s="121">
        <f t="shared" si="33"/>
        <v>0</v>
      </c>
      <c r="X80" s="66">
        <f t="shared" si="29"/>
        <v>0</v>
      </c>
      <c r="Y80" s="121">
        <f t="shared" si="34"/>
        <v>0</v>
      </c>
      <c r="Z80" s="121">
        <f>C80*Allocations!$B$11</f>
        <v>229420.32069242132</v>
      </c>
      <c r="AA80" s="228">
        <f t="shared" si="35"/>
        <v>111459.19840693682</v>
      </c>
      <c r="AB80" s="67">
        <f t="shared" si="36"/>
        <v>664125.60039152321</v>
      </c>
      <c r="AC80" s="81"/>
      <c r="AD80" s="82"/>
      <c r="AE80" s="83"/>
      <c r="AF80" s="84"/>
      <c r="AG80" s="72"/>
      <c r="AH80" s="73"/>
      <c r="AI80" s="72"/>
      <c r="AJ80" s="73"/>
      <c r="AK80" s="133"/>
      <c r="AL80" s="134"/>
      <c r="AM80" s="72"/>
      <c r="AN80" s="73"/>
      <c r="AO80" s="72"/>
      <c r="AP80" s="73"/>
      <c r="AQ80" s="200"/>
      <c r="AR80" s="202"/>
      <c r="AS80" s="72"/>
      <c r="AT80" s="73"/>
      <c r="AU80" s="75"/>
      <c r="AV80" s="76"/>
      <c r="AW80" s="72"/>
      <c r="AX80" s="73"/>
      <c r="AY80" s="77"/>
      <c r="AZ80" s="78"/>
      <c r="BA80" s="79"/>
    </row>
    <row r="81" spans="1:54" ht="12.75">
      <c r="A81" s="113" t="s">
        <v>78</v>
      </c>
      <c r="B81" s="57">
        <v>77</v>
      </c>
      <c r="C81" s="58">
        <v>1.0400940197129737E-2</v>
      </c>
      <c r="D81" s="121">
        <v>345694.28249031684</v>
      </c>
      <c r="E81" s="228">
        <v>381712.42758790305</v>
      </c>
      <c r="F81" s="9">
        <f>C81*Allocations!$B$6</f>
        <v>383470.18393993686</v>
      </c>
      <c r="G81" s="9">
        <f>C81*Allocations!$B$12</f>
        <v>182047.65627036174</v>
      </c>
      <c r="H81" s="11">
        <f t="shared" si="22"/>
        <v>1110876.8940181567</v>
      </c>
      <c r="I81" s="15">
        <f t="shared" si="30"/>
        <v>1292924.5502885184</v>
      </c>
      <c r="J81" s="59">
        <f t="shared" si="23"/>
        <v>370292.29800605221</v>
      </c>
      <c r="K81" s="60">
        <v>-35890.344295757415</v>
      </c>
      <c r="L81" s="61">
        <f t="shared" si="31"/>
        <v>529627.49591454118</v>
      </c>
      <c r="M81" s="11">
        <f t="shared" si="24"/>
        <v>590082.25</v>
      </c>
      <c r="N81" s="11">
        <f t="shared" si="25"/>
        <v>590082.25</v>
      </c>
      <c r="O81" s="62">
        <f t="shared" si="32"/>
        <v>-60454.754085458815</v>
      </c>
      <c r="P81" s="80">
        <f t="shared" si="26"/>
        <v>-0.16326225095956687</v>
      </c>
      <c r="Q81" s="226">
        <f t="shared" si="27"/>
        <v>2240366.3495541625</v>
      </c>
      <c r="R81" s="223"/>
      <c r="S81" s="122"/>
      <c r="T81" s="122"/>
      <c r="U81" s="122"/>
      <c r="V81" s="65">
        <f t="shared" si="28"/>
        <v>0</v>
      </c>
      <c r="W81" s="121">
        <f t="shared" si="33"/>
        <v>383470.18393993686</v>
      </c>
      <c r="X81" s="66">
        <f t="shared" si="29"/>
        <v>1.0467597917125674E-2</v>
      </c>
      <c r="Y81" s="121">
        <f t="shared" si="34"/>
        <v>3326.085343785694</v>
      </c>
      <c r="Z81" s="121">
        <f>C81*Allocations!$B$11</f>
        <v>374714.98341810028</v>
      </c>
      <c r="AA81" s="228">
        <f t="shared" si="35"/>
        <v>182047.65627036174</v>
      </c>
      <c r="AB81" s="67">
        <f t="shared" si="36"/>
        <v>-65883.869263509638</v>
      </c>
      <c r="AC81" s="87">
        <v>590082.25</v>
      </c>
      <c r="AD81" s="88">
        <v>590082.25</v>
      </c>
      <c r="AE81" s="83"/>
      <c r="AF81" s="84"/>
      <c r="AG81" s="72"/>
      <c r="AH81" s="73"/>
      <c r="AI81" s="72"/>
      <c r="AJ81" s="73"/>
      <c r="AK81" s="72"/>
      <c r="AL81" s="73"/>
      <c r="AM81" s="72"/>
      <c r="AN81" s="73"/>
      <c r="AO81" s="72"/>
      <c r="AP81" s="73"/>
      <c r="AQ81" s="200"/>
      <c r="AR81" s="202"/>
      <c r="AS81" s="72"/>
      <c r="AT81" s="73"/>
      <c r="AU81" s="75"/>
      <c r="AV81" s="76"/>
      <c r="AW81" s="72"/>
      <c r="AX81" s="73"/>
      <c r="AY81" s="77"/>
      <c r="AZ81" s="78"/>
      <c r="BA81" s="79"/>
    </row>
    <row r="82" spans="1:54" ht="12.75">
      <c r="A82" s="113" t="s">
        <v>79</v>
      </c>
      <c r="B82" s="57">
        <v>78</v>
      </c>
      <c r="C82" s="58">
        <v>1.5751210006798192E-2</v>
      </c>
      <c r="D82" s="121">
        <v>608192.99161102215</v>
      </c>
      <c r="E82" s="228">
        <v>580739.09144345042</v>
      </c>
      <c r="F82" s="9">
        <f>C82*Allocations!$B$6</f>
        <v>580728.21149864118</v>
      </c>
      <c r="G82" s="9">
        <f>C82*Allocations!$B$12</f>
        <v>275693.42874898872</v>
      </c>
      <c r="H82" s="11">
        <f t="shared" si="22"/>
        <v>1769660.2945531139</v>
      </c>
      <c r="I82" s="15">
        <f t="shared" si="30"/>
        <v>2045353.7233021026</v>
      </c>
      <c r="J82" s="59">
        <f t="shared" si="23"/>
        <v>589886.76485103799</v>
      </c>
      <c r="K82" s="60">
        <v>-601858.57807480008</v>
      </c>
      <c r="L82" s="61">
        <f t="shared" si="31"/>
        <v>254563.06217282987</v>
      </c>
      <c r="M82" s="11">
        <f t="shared" si="24"/>
        <v>2217900.0499999998</v>
      </c>
      <c r="N82" s="11">
        <f t="shared" si="25"/>
        <v>2217900.0499999998</v>
      </c>
      <c r="O82" s="62">
        <f t="shared" si="32"/>
        <v>-1963336.9878271699</v>
      </c>
      <c r="P82" s="80">
        <f t="shared" si="26"/>
        <v>-3.3283285959517408</v>
      </c>
      <c r="Q82" s="226">
        <f t="shared" si="27"/>
        <v>1521032.2811646771</v>
      </c>
      <c r="R82" s="223"/>
      <c r="S82" s="122"/>
      <c r="T82" s="122">
        <v>907604.08</v>
      </c>
      <c r="U82" s="122">
        <v>907604.08</v>
      </c>
      <c r="V82" s="65">
        <f t="shared" si="28"/>
        <v>0</v>
      </c>
      <c r="W82" s="121">
        <f t="shared" si="33"/>
        <v>580728.21149864118</v>
      </c>
      <c r="X82" s="66">
        <f t="shared" si="29"/>
        <v>1.5852156625693288E-2</v>
      </c>
      <c r="Y82" s="121">
        <f t="shared" si="34"/>
        <v>5037.0320141788361</v>
      </c>
      <c r="Z82" s="121">
        <f>C82*Allocations!$B$11</f>
        <v>567469.31379734166</v>
      </c>
      <c r="AA82" s="228">
        <f t="shared" si="35"/>
        <v>275693.42874898872</v>
      </c>
      <c r="AB82" s="67">
        <f t="shared" si="36"/>
        <v>-1971558.8535142902</v>
      </c>
      <c r="AC82" s="81"/>
      <c r="AD82" s="82"/>
      <c r="AE82" s="83"/>
      <c r="AF82" s="84"/>
      <c r="AG82" s="72">
        <v>2217900.0499999998</v>
      </c>
      <c r="AH82" s="73">
        <v>2217900.0499999998</v>
      </c>
      <c r="AI82" s="72"/>
      <c r="AJ82" s="73"/>
      <c r="AK82" s="72"/>
      <c r="AL82" s="73"/>
      <c r="AM82" s="72"/>
      <c r="AN82" s="73"/>
      <c r="AO82" s="72"/>
      <c r="AP82" s="73"/>
      <c r="AQ82" s="200"/>
      <c r="AR82" s="202"/>
      <c r="AS82" s="72"/>
      <c r="AT82" s="73"/>
      <c r="AU82" s="75"/>
      <c r="AV82" s="76"/>
      <c r="AW82" s="72"/>
      <c r="AX82" s="73"/>
      <c r="AY82" s="77"/>
      <c r="AZ82" s="78"/>
      <c r="BA82" s="79"/>
    </row>
    <row r="83" spans="1:54" ht="12.75">
      <c r="A83" s="113" t="s">
        <v>80</v>
      </c>
      <c r="B83" s="57">
        <v>79</v>
      </c>
      <c r="C83" s="58">
        <v>1.2959992623830971E-2</v>
      </c>
      <c r="D83" s="121">
        <v>430865.30610437371</v>
      </c>
      <c r="E83" s="228">
        <v>499162.74754268321</v>
      </c>
      <c r="F83" s="9">
        <f>C83*Allocations!$B$6</f>
        <v>477819.37604949932</v>
      </c>
      <c r="G83" s="9">
        <f>C83*Allocations!$B$12</f>
        <v>226838.75089491345</v>
      </c>
      <c r="H83" s="11">
        <f t="shared" si="22"/>
        <v>1407847.4296965562</v>
      </c>
      <c r="I83" s="15">
        <f t="shared" si="30"/>
        <v>1634686.1805914696</v>
      </c>
      <c r="J83" s="59">
        <f t="shared" si="23"/>
        <v>469282.47656551871</v>
      </c>
      <c r="K83" s="60">
        <v>1030354.7857642679</v>
      </c>
      <c r="L83" s="61">
        <f t="shared" si="31"/>
        <v>1735012.9127086806</v>
      </c>
      <c r="M83" s="11">
        <f t="shared" si="24"/>
        <v>0</v>
      </c>
      <c r="N83" s="11">
        <f t="shared" si="25"/>
        <v>0</v>
      </c>
      <c r="O83" s="62">
        <f t="shared" si="32"/>
        <v>1735012.9127086806</v>
      </c>
      <c r="P83" s="80">
        <f t="shared" si="26"/>
        <v>3.6971610902808716</v>
      </c>
      <c r="Q83" s="226">
        <f t="shared" si="27"/>
        <v>4601929.1690056771</v>
      </c>
      <c r="R83" s="223"/>
      <c r="S83" s="122"/>
      <c r="T83" s="122">
        <v>613276.30000000005</v>
      </c>
      <c r="U83" s="122">
        <v>613276.30000000005</v>
      </c>
      <c r="V83" s="65">
        <f t="shared" si="28"/>
        <v>0</v>
      </c>
      <c r="W83" s="121">
        <f t="shared" si="33"/>
        <v>477819.37604949932</v>
      </c>
      <c r="X83" s="66">
        <f t="shared" si="29"/>
        <v>1.3043050841943515E-2</v>
      </c>
      <c r="Y83" s="121">
        <f t="shared" si="34"/>
        <v>4144.4370128760593</v>
      </c>
      <c r="Z83" s="121">
        <f>C83*Allocations!$B$11</f>
        <v>466910.04169773794</v>
      </c>
      <c r="AA83" s="228">
        <f t="shared" si="35"/>
        <v>226838.75089491345</v>
      </c>
      <c r="AB83" s="67">
        <f t="shared" si="36"/>
        <v>1728248.0153697953</v>
      </c>
      <c r="AC83" s="81"/>
      <c r="AD83" s="82"/>
      <c r="AE83" s="83"/>
      <c r="AF83" s="84"/>
      <c r="AG83" s="72"/>
      <c r="AH83" s="73"/>
      <c r="AI83" s="72"/>
      <c r="AJ83" s="73"/>
      <c r="AK83" s="72"/>
      <c r="AL83" s="73"/>
      <c r="AM83" s="72"/>
      <c r="AN83" s="73"/>
      <c r="AO83" s="72"/>
      <c r="AP83" s="73"/>
      <c r="AQ83" s="200"/>
      <c r="AR83" s="202"/>
      <c r="AS83" s="72"/>
      <c r="AT83" s="73"/>
      <c r="AU83" s="75"/>
      <c r="AV83" s="76"/>
      <c r="AW83" s="72"/>
      <c r="AX83" s="73"/>
      <c r="AY83" s="77"/>
      <c r="AZ83" s="78"/>
      <c r="BA83" s="79"/>
    </row>
    <row r="84" spans="1:54" ht="12.75">
      <c r="A84" s="91" t="s">
        <v>81</v>
      </c>
      <c r="B84" s="92">
        <v>80</v>
      </c>
      <c r="C84" s="93">
        <v>1.1307323398116407E-2</v>
      </c>
      <c r="D84" s="221">
        <v>417464.44901051366</v>
      </c>
      <c r="E84" s="229">
        <v>412319.75525947317</v>
      </c>
      <c r="F84" s="10">
        <f>C84*Allocations!$B$6</f>
        <v>416887.44490047422</v>
      </c>
      <c r="G84" s="10">
        <f>C84*Allocations!$B$12</f>
        <v>197912.08143723142</v>
      </c>
      <c r="H84" s="12">
        <f t="shared" si="22"/>
        <v>1246671.6491704611</v>
      </c>
      <c r="I84" s="16">
        <f t="shared" si="30"/>
        <v>1444583.7306076926</v>
      </c>
      <c r="J84" s="94">
        <f t="shared" si="23"/>
        <v>415557.21639015368</v>
      </c>
      <c r="K84" s="240">
        <f>1402197.65491896+135736.99</f>
        <v>1537934.6449189601</v>
      </c>
      <c r="L84" s="96">
        <f t="shared" si="31"/>
        <v>2152734.1712566656</v>
      </c>
      <c r="M84" s="12">
        <f t="shared" si="24"/>
        <v>334806.84999999998</v>
      </c>
      <c r="N84" s="12">
        <f t="shared" si="25"/>
        <v>334806.84999999998</v>
      </c>
      <c r="O84" s="97">
        <f t="shared" si="32"/>
        <v>1817927.3212566655</v>
      </c>
      <c r="P84" s="98">
        <f t="shared" si="26"/>
        <v>4.3746739307009657</v>
      </c>
      <c r="Q84" s="227">
        <f t="shared" si="27"/>
        <v>4319251.9906595107</v>
      </c>
      <c r="R84" s="224">
        <v>899601.3</v>
      </c>
      <c r="S84" s="222">
        <v>899601.3</v>
      </c>
      <c r="T84" s="222"/>
      <c r="U84" s="222"/>
      <c r="V84" s="99">
        <f t="shared" si="28"/>
        <v>0</v>
      </c>
      <c r="W84" s="221">
        <f t="shared" si="33"/>
        <v>416887.44490047422</v>
      </c>
      <c r="X84" s="100">
        <f t="shared" si="29"/>
        <v>1.1379789961974082E-2</v>
      </c>
      <c r="Y84" s="221">
        <f t="shared" si="34"/>
        <v>3615.9348981064923</v>
      </c>
      <c r="Z84" s="221">
        <f>C84*Allocations!$B$11</f>
        <v>407369.27809637284</v>
      </c>
      <c r="AA84" s="229">
        <f t="shared" si="35"/>
        <v>197912.08143723142</v>
      </c>
      <c r="AB84" s="101">
        <f t="shared" si="36"/>
        <v>1812025.0893506706</v>
      </c>
      <c r="AC84" s="102"/>
      <c r="AD84" s="103"/>
      <c r="AE84" s="104"/>
      <c r="AF84" s="105"/>
      <c r="AG84" s="106"/>
      <c r="AH84" s="107"/>
      <c r="AI84" s="106"/>
      <c r="AJ84" s="107"/>
      <c r="AK84" s="106"/>
      <c r="AL84" s="107"/>
      <c r="AM84" s="187">
        <v>334806.84999999998</v>
      </c>
      <c r="AN84" s="94">
        <v>334806.84999999998</v>
      </c>
      <c r="AO84" s="106"/>
      <c r="AP84" s="107"/>
      <c r="AQ84" s="203"/>
      <c r="AR84" s="204"/>
      <c r="AS84" s="106"/>
      <c r="AT84" s="107"/>
      <c r="AU84" s="108"/>
      <c r="AV84" s="109"/>
      <c r="AW84" s="106"/>
      <c r="AX84" s="107"/>
      <c r="AY84" s="110"/>
      <c r="AZ84" s="111"/>
      <c r="BA84" s="112"/>
      <c r="BB84" s="239" t="s">
        <v>152</v>
      </c>
    </row>
    <row r="85" spans="1:54" ht="12.75">
      <c r="A85" s="113" t="s">
        <v>82</v>
      </c>
      <c r="B85" s="57">
        <v>81</v>
      </c>
      <c r="C85" s="58">
        <v>1.0511624332958618E-2</v>
      </c>
      <c r="D85" s="121">
        <v>309118.22320404218</v>
      </c>
      <c r="E85" s="228">
        <v>360114.8242212304</v>
      </c>
      <c r="F85" s="9">
        <f>C85*Allocations!$B$6</f>
        <v>387550.97520698467</v>
      </c>
      <c r="G85" s="9">
        <f>C85*Allocations!$B$12</f>
        <v>183984.96069977465</v>
      </c>
      <c r="H85" s="11">
        <f t="shared" si="22"/>
        <v>1056784.0226322573</v>
      </c>
      <c r="I85" s="15">
        <f t="shared" si="30"/>
        <v>1240768.9833320319</v>
      </c>
      <c r="J85" s="59">
        <f t="shared" si="23"/>
        <v>352261.3408774191</v>
      </c>
      <c r="K85" s="60">
        <v>1128229.1403969014</v>
      </c>
      <c r="L85" s="61">
        <f t="shared" si="31"/>
        <v>1699765.0763036609</v>
      </c>
      <c r="M85" s="11">
        <f t="shared" si="24"/>
        <v>757033.94</v>
      </c>
      <c r="N85" s="11">
        <f t="shared" si="25"/>
        <v>757033.94</v>
      </c>
      <c r="O85" s="62">
        <f t="shared" si="32"/>
        <v>942731.13630366093</v>
      </c>
      <c r="P85" s="80">
        <f t="shared" si="26"/>
        <v>2.6762265026173142</v>
      </c>
      <c r="Q85" s="226">
        <f t="shared" si="27"/>
        <v>3268036.987545569</v>
      </c>
      <c r="R85" s="223"/>
      <c r="S85" s="122"/>
      <c r="T85" s="122"/>
      <c r="U85" s="122"/>
      <c r="V85" s="65">
        <f t="shared" si="28"/>
        <v>0</v>
      </c>
      <c r="W85" s="121">
        <f t="shared" si="33"/>
        <v>387550.97520698467</v>
      </c>
      <c r="X85" s="66">
        <f t="shared" si="29"/>
        <v>1.0578991407300819E-2</v>
      </c>
      <c r="Y85" s="121">
        <f t="shared" si="34"/>
        <v>3361.4806902632768</v>
      </c>
      <c r="Z85" s="121">
        <f>C85*Allocations!$B$11</f>
        <v>378702.60408850957</v>
      </c>
      <c r="AA85" s="228">
        <f t="shared" si="35"/>
        <v>183984.96069977465</v>
      </c>
      <c r="AB85" s="67">
        <f t="shared" si="36"/>
        <v>937244.24587544904</v>
      </c>
      <c r="AC85" s="81"/>
      <c r="AD85" s="82"/>
      <c r="AE85" s="115">
        <v>211384.46</v>
      </c>
      <c r="AF85" s="59">
        <v>211384.46</v>
      </c>
      <c r="AG85" s="72"/>
      <c r="AH85" s="73"/>
      <c r="AI85" s="72"/>
      <c r="AJ85" s="73"/>
      <c r="AK85" s="72"/>
      <c r="AL85" s="135"/>
      <c r="AM85" s="72"/>
      <c r="AN85" s="73"/>
      <c r="AO85" s="72"/>
      <c r="AP85" s="73"/>
      <c r="AQ85" s="200"/>
      <c r="AR85" s="202"/>
      <c r="AS85" s="72">
        <v>108568.5</v>
      </c>
      <c r="AT85" s="73">
        <v>108568.5</v>
      </c>
      <c r="AU85" s="75"/>
      <c r="AV85" s="76"/>
      <c r="AW85" s="72">
        <v>437080.98</v>
      </c>
      <c r="AX85" s="73">
        <v>437080.98</v>
      </c>
      <c r="AY85" s="77"/>
      <c r="AZ85" s="78"/>
      <c r="BA85" s="79"/>
    </row>
    <row r="86" spans="1:54" ht="12.75">
      <c r="A86" s="113" t="s">
        <v>83</v>
      </c>
      <c r="B86" s="57">
        <v>82</v>
      </c>
      <c r="C86" s="58">
        <v>8.1011578090735767E-3</v>
      </c>
      <c r="D86" s="121">
        <v>190690.53310026423</v>
      </c>
      <c r="E86" s="228">
        <v>305712.92399355862</v>
      </c>
      <c r="F86" s="9">
        <f>C86*Allocations!$B$6</f>
        <v>298679.96703117189</v>
      </c>
      <c r="G86" s="9">
        <f>C86*Allocations!$B$12</f>
        <v>141794.56513221478</v>
      </c>
      <c r="H86" s="11">
        <f t="shared" si="22"/>
        <v>795083.42412499478</v>
      </c>
      <c r="I86" s="15">
        <f t="shared" si="30"/>
        <v>936877.98925720959</v>
      </c>
      <c r="J86" s="59">
        <f t="shared" si="23"/>
        <v>265027.80804166495</v>
      </c>
      <c r="K86" s="60">
        <v>21116.465028118866</v>
      </c>
      <c r="L86" s="61">
        <f t="shared" si="31"/>
        <v>461590.99719150556</v>
      </c>
      <c r="M86" s="11">
        <f t="shared" si="24"/>
        <v>987166.84</v>
      </c>
      <c r="N86" s="11">
        <f t="shared" si="25"/>
        <v>583993.35</v>
      </c>
      <c r="O86" s="62">
        <f t="shared" si="32"/>
        <v>-122402.35280849441</v>
      </c>
      <c r="P86" s="80">
        <f t="shared" si="26"/>
        <v>-0.46184720657407985</v>
      </c>
      <c r="Q86" s="226">
        <f t="shared" si="27"/>
        <v>1669677.449378537</v>
      </c>
      <c r="R86" s="223"/>
      <c r="S86" s="122"/>
      <c r="T86" s="122"/>
      <c r="U86" s="122"/>
      <c r="V86" s="65">
        <f t="shared" si="28"/>
        <v>0</v>
      </c>
      <c r="W86" s="121">
        <f t="shared" si="33"/>
        <v>298679.96703117189</v>
      </c>
      <c r="X86" s="66">
        <f t="shared" si="29"/>
        <v>8.15307664512545E-3</v>
      </c>
      <c r="Y86" s="121">
        <f t="shared" si="34"/>
        <v>2590.6448595762986</v>
      </c>
      <c r="Z86" s="121">
        <f>C86*Allocations!$B$11</f>
        <v>291860.65457160649</v>
      </c>
      <c r="AA86" s="228">
        <f t="shared" si="35"/>
        <v>141794.56513221478</v>
      </c>
      <c r="AB86" s="67">
        <f t="shared" si="36"/>
        <v>-126631.02040848354</v>
      </c>
      <c r="AC86" s="81"/>
      <c r="AD86" s="82"/>
      <c r="AE86" s="83"/>
      <c r="AF86" s="84"/>
      <c r="AG86" s="72"/>
      <c r="AH86" s="73"/>
      <c r="AI86" s="72"/>
      <c r="AJ86" s="73"/>
      <c r="AK86" s="72"/>
      <c r="AL86" s="73"/>
      <c r="AM86" s="188">
        <f>544795.73+442371.11</f>
        <v>987166.84</v>
      </c>
      <c r="AN86" s="59">
        <f>353625.73+230367.62</f>
        <v>583993.35</v>
      </c>
      <c r="AO86" s="72"/>
      <c r="AP86" s="73"/>
      <c r="AQ86" s="200"/>
      <c r="AR86" s="202"/>
      <c r="AS86" s="72"/>
      <c r="AT86" s="73"/>
      <c r="AU86" s="75"/>
      <c r="AV86" s="76"/>
      <c r="AW86" s="72"/>
      <c r="AX86" s="73"/>
      <c r="AY86" s="77"/>
      <c r="AZ86" s="78"/>
      <c r="BA86" s="79"/>
    </row>
    <row r="87" spans="1:54" ht="12.75">
      <c r="A87" s="113" t="s">
        <v>84</v>
      </c>
      <c r="B87" s="57">
        <v>83</v>
      </c>
      <c r="C87" s="58">
        <v>8.4069846967890997E-3</v>
      </c>
      <c r="D87" s="121">
        <v>337603.79130379215</v>
      </c>
      <c r="E87" s="228">
        <v>326808.91287832806</v>
      </c>
      <c r="F87" s="9">
        <f>C87*Allocations!$B$6</f>
        <v>309955.43738897797</v>
      </c>
      <c r="G87" s="9">
        <f>C87*Allocations!$B$12</f>
        <v>147147.45314789959</v>
      </c>
      <c r="H87" s="11">
        <f t="shared" si="22"/>
        <v>974368.14157109824</v>
      </c>
      <c r="I87" s="15">
        <f t="shared" si="30"/>
        <v>1121515.5947189978</v>
      </c>
      <c r="J87" s="59">
        <f t="shared" si="23"/>
        <v>324789.38052369939</v>
      </c>
      <c r="K87" s="60">
        <v>-1617269.3583577452</v>
      </c>
      <c r="L87" s="61">
        <f t="shared" si="31"/>
        <v>-1160166.4678208677</v>
      </c>
      <c r="M87" s="11">
        <f t="shared" si="24"/>
        <v>709790.3</v>
      </c>
      <c r="N87" s="11">
        <f t="shared" si="25"/>
        <v>409380.3</v>
      </c>
      <c r="O87" s="62">
        <f t="shared" si="32"/>
        <v>-1569546.7678208677</v>
      </c>
      <c r="P87" s="80">
        <f t="shared" si="26"/>
        <v>-4.8325064239787858</v>
      </c>
      <c r="Q87" s="226">
        <f t="shared" si="27"/>
        <v>290185.85651300009</v>
      </c>
      <c r="R87" s="223"/>
      <c r="S87" s="122"/>
      <c r="T87" s="122"/>
      <c r="U87" s="122"/>
      <c r="V87" s="65">
        <f t="shared" si="28"/>
        <v>0</v>
      </c>
      <c r="W87" s="121">
        <f t="shared" si="33"/>
        <v>309955.43738897797</v>
      </c>
      <c r="X87" s="66">
        <f t="shared" si="29"/>
        <v>8.4608635213287639E-3</v>
      </c>
      <c r="Y87" s="121">
        <f t="shared" si="34"/>
        <v>2688.4443190181387</v>
      </c>
      <c r="Z87" s="121">
        <f>C87*Allocations!$B$11</f>
        <v>302878.6889980284</v>
      </c>
      <c r="AA87" s="228">
        <f t="shared" si="35"/>
        <v>147147.45314789959</v>
      </c>
      <c r="AB87" s="67">
        <f t="shared" si="36"/>
        <v>-1573935.0718927991</v>
      </c>
      <c r="AC87" s="87"/>
      <c r="AD87" s="88"/>
      <c r="AE87" s="83"/>
      <c r="AF87" s="84"/>
      <c r="AG87" s="72"/>
      <c r="AH87" s="73"/>
      <c r="AI87" s="72"/>
      <c r="AJ87" s="73"/>
      <c r="AK87" s="72"/>
      <c r="AL87" s="73"/>
      <c r="AM87" s="72"/>
      <c r="AN87" s="73"/>
      <c r="AO87" s="188">
        <f>481614.8+228175.5</f>
        <v>709790.3</v>
      </c>
      <c r="AP87" s="59">
        <f>290444.8+118935.5</f>
        <v>409380.3</v>
      </c>
      <c r="AQ87" s="200"/>
      <c r="AR87" s="202"/>
      <c r="AS87" s="72"/>
      <c r="AT87" s="73"/>
      <c r="AU87" s="75"/>
      <c r="AV87" s="76"/>
      <c r="AW87" s="72"/>
      <c r="AX87" s="73"/>
      <c r="AY87" s="136"/>
      <c r="AZ87" s="78"/>
      <c r="BA87" s="79"/>
    </row>
    <row r="88" spans="1:54" ht="12.75">
      <c r="A88" s="113" t="s">
        <v>85</v>
      </c>
      <c r="B88" s="57">
        <v>84</v>
      </c>
      <c r="C88" s="58">
        <v>8.1082159295989501E-3</v>
      </c>
      <c r="D88" s="121">
        <v>341283.98132314207</v>
      </c>
      <c r="E88" s="228">
        <v>300363.40001587529</v>
      </c>
      <c r="F88" s="9">
        <f>C88*Allocations!$B$6</f>
        <v>298940.19146519777</v>
      </c>
      <c r="G88" s="9">
        <f>C88*Allocations!$B$12</f>
        <v>141918.1034157704</v>
      </c>
      <c r="H88" s="11">
        <f t="shared" si="22"/>
        <v>940587.57280421513</v>
      </c>
      <c r="I88" s="15">
        <f t="shared" si="30"/>
        <v>1082505.6762199856</v>
      </c>
      <c r="J88" s="59">
        <f t="shared" si="23"/>
        <v>313529.19093473838</v>
      </c>
      <c r="K88" s="60">
        <v>265043.93751239369</v>
      </c>
      <c r="L88" s="61">
        <f t="shared" si="31"/>
        <v>705902.23239336186</v>
      </c>
      <c r="M88" s="11">
        <f t="shared" si="24"/>
        <v>862643.7</v>
      </c>
      <c r="N88" s="11">
        <f t="shared" si="25"/>
        <v>327367.7</v>
      </c>
      <c r="O88" s="62">
        <f t="shared" si="32"/>
        <v>378534.53239336185</v>
      </c>
      <c r="P88" s="80">
        <f t="shared" si="26"/>
        <v>1.2073342557508606</v>
      </c>
      <c r="Q88" s="226">
        <f t="shared" si="27"/>
        <v>2172175.6811845484</v>
      </c>
      <c r="R88" s="223"/>
      <c r="S88" s="122"/>
      <c r="T88" s="122"/>
      <c r="U88" s="122"/>
      <c r="V88" s="65">
        <f t="shared" si="28"/>
        <v>0</v>
      </c>
      <c r="W88" s="121">
        <f t="shared" si="33"/>
        <v>298940.19146519777</v>
      </c>
      <c r="X88" s="66">
        <f t="shared" si="29"/>
        <v>8.1601799998520363E-3</v>
      </c>
      <c r="Y88" s="121">
        <f t="shared" si="34"/>
        <v>2592.9019546839691</v>
      </c>
      <c r="Z88" s="121">
        <f>C88*Allocations!$B$11</f>
        <v>292114.9376907766</v>
      </c>
      <c r="AA88" s="228">
        <f t="shared" si="35"/>
        <v>141918.1034157704</v>
      </c>
      <c r="AB88" s="67">
        <f t="shared" si="36"/>
        <v>374302.18057362468</v>
      </c>
      <c r="AC88" s="81"/>
      <c r="AD88" s="82"/>
      <c r="AE88" s="83"/>
      <c r="AF88" s="84"/>
      <c r="AG88" s="72"/>
      <c r="AH88" s="73"/>
      <c r="AI88" s="72"/>
      <c r="AJ88" s="73"/>
      <c r="AK88" s="133"/>
      <c r="AL88" s="134"/>
      <c r="AM88" s="72"/>
      <c r="AN88" s="73"/>
      <c r="AO88" s="72"/>
      <c r="AP88" s="73"/>
      <c r="AQ88" s="200"/>
      <c r="AR88" s="202"/>
      <c r="AS88" s="72"/>
      <c r="AT88" s="73"/>
      <c r="AU88" s="75"/>
      <c r="AV88" s="76"/>
      <c r="AW88" s="72"/>
      <c r="AX88" s="73"/>
      <c r="AY88" s="77">
        <v>862643.7</v>
      </c>
      <c r="AZ88" s="78">
        <v>327367.7</v>
      </c>
      <c r="BA88" s="79"/>
    </row>
    <row r="89" spans="1:54" ht="12.75">
      <c r="A89" s="91" t="s">
        <v>86</v>
      </c>
      <c r="B89" s="92">
        <v>85</v>
      </c>
      <c r="C89" s="93">
        <v>9.533952257528993E-3</v>
      </c>
      <c r="D89" s="221">
        <v>362690.4056760036</v>
      </c>
      <c r="E89" s="229">
        <v>350595.23021299817</v>
      </c>
      <c r="F89" s="10">
        <f>C89*Allocations!$B$6</f>
        <v>351505.37899238494</v>
      </c>
      <c r="G89" s="10">
        <f>C89*Allocations!$B$12</f>
        <v>166872.76636352993</v>
      </c>
      <c r="H89" s="12">
        <f t="shared" si="22"/>
        <v>1064791.0148813867</v>
      </c>
      <c r="I89" s="16">
        <f t="shared" si="30"/>
        <v>1231663.7812449166</v>
      </c>
      <c r="J89" s="94">
        <f t="shared" si="23"/>
        <v>354930.33829379553</v>
      </c>
      <c r="K89" s="95">
        <v>-59119.146957060439</v>
      </c>
      <c r="L89" s="96">
        <f t="shared" si="31"/>
        <v>459258.9983988544</v>
      </c>
      <c r="M89" s="12">
        <f t="shared" si="24"/>
        <v>578425.56000000006</v>
      </c>
      <c r="N89" s="12">
        <f t="shared" si="25"/>
        <v>578425.56000000006</v>
      </c>
      <c r="O89" s="97">
        <f t="shared" si="32"/>
        <v>-119166.56160114566</v>
      </c>
      <c r="P89" s="98">
        <f t="shared" si="26"/>
        <v>-0.33574633877170817</v>
      </c>
      <c r="Q89" s="227">
        <f t="shared" si="27"/>
        <v>1989865.7123531639</v>
      </c>
      <c r="R89" s="224">
        <v>480183.61</v>
      </c>
      <c r="S89" s="222">
        <v>179773.59</v>
      </c>
      <c r="T89" s="222"/>
      <c r="U89" s="222"/>
      <c r="V89" s="99">
        <f t="shared" si="28"/>
        <v>0</v>
      </c>
      <c r="W89" s="221">
        <f t="shared" si="33"/>
        <v>351505.37899238494</v>
      </c>
      <c r="X89" s="100">
        <f t="shared" si="29"/>
        <v>9.5950536106751607E-3</v>
      </c>
      <c r="Y89" s="221">
        <f t="shared" si="34"/>
        <v>3048.8338814668568</v>
      </c>
      <c r="Z89" s="221">
        <f>C89*Allocations!$B$11</f>
        <v>343479.98299949983</v>
      </c>
      <c r="AA89" s="229">
        <f t="shared" si="35"/>
        <v>166872.76636352993</v>
      </c>
      <c r="AB89" s="101">
        <f t="shared" si="36"/>
        <v>-124143.12371256386</v>
      </c>
      <c r="AC89" s="102"/>
      <c r="AD89" s="103"/>
      <c r="AE89" s="137">
        <v>578425.56000000006</v>
      </c>
      <c r="AF89" s="94">
        <v>578425.56000000006</v>
      </c>
      <c r="AG89" s="106"/>
      <c r="AH89" s="107"/>
      <c r="AI89" s="106"/>
      <c r="AJ89" s="107"/>
      <c r="AK89" s="106"/>
      <c r="AL89" s="107"/>
      <c r="AM89" s="106"/>
      <c r="AN89" s="107"/>
      <c r="AO89" s="106"/>
      <c r="AP89" s="107"/>
      <c r="AQ89" s="203"/>
      <c r="AR89" s="204"/>
      <c r="AS89" s="106"/>
      <c r="AT89" s="107"/>
      <c r="AU89" s="108"/>
      <c r="AV89" s="109"/>
      <c r="AW89" s="106"/>
      <c r="AX89" s="107"/>
      <c r="AY89" s="110"/>
      <c r="AZ89" s="111"/>
      <c r="BA89" s="112"/>
    </row>
    <row r="90" spans="1:54" ht="12.75">
      <c r="A90" s="113" t="s">
        <v>87</v>
      </c>
      <c r="B90" s="57">
        <v>86</v>
      </c>
      <c r="C90" s="58">
        <v>2.5651091605079123E-2</v>
      </c>
      <c r="D90" s="121">
        <v>928692.47658051946</v>
      </c>
      <c r="E90" s="228">
        <v>912692.37424246932</v>
      </c>
      <c r="F90" s="9">
        <f>C90*Allocations!$B$6</f>
        <v>945724.96616934112</v>
      </c>
      <c r="G90" s="9">
        <f>C90*Allocations!$B$12</f>
        <v>448971.05636369978</v>
      </c>
      <c r="H90" s="11">
        <f t="shared" si="22"/>
        <v>2787109.8169923299</v>
      </c>
      <c r="I90" s="15">
        <f t="shared" si="30"/>
        <v>3236080.8733560299</v>
      </c>
      <c r="J90" s="59">
        <f t="shared" si="23"/>
        <v>929036.60566410993</v>
      </c>
      <c r="K90" s="60">
        <v>2449102.7234366559</v>
      </c>
      <c r="L90" s="61">
        <f t="shared" si="31"/>
        <v>3843798.7459696969</v>
      </c>
      <c r="M90" s="11">
        <f t="shared" si="24"/>
        <v>3259945.5</v>
      </c>
      <c r="N90" s="11">
        <f t="shared" si="25"/>
        <v>2536427.62</v>
      </c>
      <c r="O90" s="62">
        <f t="shared" si="32"/>
        <v>1307371.1259696968</v>
      </c>
      <c r="P90" s="80">
        <f t="shared" si="26"/>
        <v>1.4072331682077686</v>
      </c>
      <c r="Q90" s="226">
        <f t="shared" si="27"/>
        <v>6981720.9229857437</v>
      </c>
      <c r="R90" s="223"/>
      <c r="S90" s="122"/>
      <c r="T90" s="122"/>
      <c r="U90" s="122"/>
      <c r="V90" s="65">
        <f t="shared" si="28"/>
        <v>0</v>
      </c>
      <c r="W90" s="121">
        <f t="shared" si="33"/>
        <v>945724.96616934112</v>
      </c>
      <c r="X90" s="66">
        <f t="shared" si="29"/>
        <v>2.5815484751217328E-2</v>
      </c>
      <c r="Y90" s="121">
        <f t="shared" si="34"/>
        <v>8202.8853375488452</v>
      </c>
      <c r="Z90" s="121">
        <f>C90*Allocations!$B$11</f>
        <v>924132.64409556915</v>
      </c>
      <c r="AA90" s="228">
        <f t="shared" si="35"/>
        <v>448971.05636369978</v>
      </c>
      <c r="AB90" s="67">
        <f t="shared" si="36"/>
        <v>1293981.6892334735</v>
      </c>
      <c r="AC90" s="81"/>
      <c r="AD90" s="82"/>
      <c r="AE90" s="83"/>
      <c r="AF90" s="84"/>
      <c r="AG90" s="72"/>
      <c r="AH90" s="73"/>
      <c r="AI90" s="72"/>
      <c r="AJ90" s="73"/>
      <c r="AK90" s="188">
        <v>477385.1</v>
      </c>
      <c r="AL90" s="59">
        <v>477385.1</v>
      </c>
      <c r="AM90" s="72"/>
      <c r="AN90" s="73"/>
      <c r="AO90" s="188">
        <v>1878163.05</v>
      </c>
      <c r="AP90" s="59">
        <v>1878163.05</v>
      </c>
      <c r="AQ90" s="200"/>
      <c r="AR90" s="202"/>
      <c r="AS90" s="72"/>
      <c r="AT90" s="73"/>
      <c r="AU90" s="75"/>
      <c r="AV90" s="76"/>
      <c r="AW90" s="72"/>
      <c r="AX90" s="73"/>
      <c r="AY90" s="216">
        <v>904397.35</v>
      </c>
      <c r="AZ90" s="78">
        <v>180879.47</v>
      </c>
      <c r="BA90" s="79"/>
      <c r="BB90" s="215" t="s">
        <v>148</v>
      </c>
    </row>
    <row r="91" spans="1:54" ht="12.75">
      <c r="A91" s="113" t="s">
        <v>88</v>
      </c>
      <c r="B91" s="57">
        <v>87</v>
      </c>
      <c r="C91" s="58">
        <v>1.0035003545724772E-2</v>
      </c>
      <c r="D91" s="121">
        <v>325128.78214010951</v>
      </c>
      <c r="E91" s="228">
        <v>342100.5669940869</v>
      </c>
      <c r="F91" s="9">
        <f>C91*Allocations!$B$6</f>
        <v>369978.53872661747</v>
      </c>
      <c r="G91" s="9">
        <f>C91*Allocations!$B$12</f>
        <v>175642.66706082065</v>
      </c>
      <c r="H91" s="11">
        <f t="shared" si="22"/>
        <v>1037207.8878608139</v>
      </c>
      <c r="I91" s="15">
        <f t="shared" si="30"/>
        <v>1212850.5549216345</v>
      </c>
      <c r="J91" s="59">
        <f t="shared" si="23"/>
        <v>345735.96262027131</v>
      </c>
      <c r="K91" s="241">
        <f>-61567.2003352504-135736.99</f>
        <v>-197304.1903352504</v>
      </c>
      <c r="L91" s="61">
        <f t="shared" si="31"/>
        <v>348317.01545218768</v>
      </c>
      <c r="M91" s="11">
        <f t="shared" si="24"/>
        <v>0</v>
      </c>
      <c r="N91" s="11">
        <f t="shared" si="25"/>
        <v>0</v>
      </c>
      <c r="O91" s="62">
        <f t="shared" si="32"/>
        <v>348317.01545218768</v>
      </c>
      <c r="P91" s="80">
        <f t="shared" si="26"/>
        <v>1.0074653872057597</v>
      </c>
      <c r="Q91" s="226">
        <f t="shared" si="27"/>
        <v>2568188.2478118921</v>
      </c>
      <c r="R91" s="223"/>
      <c r="S91" s="122"/>
      <c r="T91" s="122"/>
      <c r="U91" s="122"/>
      <c r="V91" s="65">
        <f t="shared" si="28"/>
        <v>0</v>
      </c>
      <c r="W91" s="121">
        <f t="shared" si="33"/>
        <v>369978.53872661747</v>
      </c>
      <c r="X91" s="66">
        <f t="shared" si="29"/>
        <v>1.0099316044771132E-2</v>
      </c>
      <c r="Y91" s="121">
        <f t="shared" si="34"/>
        <v>3209.063564030826</v>
      </c>
      <c r="Z91" s="121">
        <f>C91*Allocations!$B$11</f>
        <v>361531.3727382574</v>
      </c>
      <c r="AA91" s="228">
        <f t="shared" si="35"/>
        <v>175642.66706082065</v>
      </c>
      <c r="AB91" s="67">
        <f t="shared" si="36"/>
        <v>343078.91302785848</v>
      </c>
      <c r="AC91" s="87"/>
      <c r="AD91" s="88"/>
      <c r="AE91" s="83"/>
      <c r="AF91" s="84"/>
      <c r="AG91" s="72"/>
      <c r="AH91" s="73"/>
      <c r="AI91" s="72"/>
      <c r="AJ91" s="73"/>
      <c r="AK91" s="72"/>
      <c r="AL91" s="73"/>
      <c r="AM91" s="72"/>
      <c r="AN91" s="73"/>
      <c r="AO91" s="72"/>
      <c r="AP91" s="73"/>
      <c r="AQ91" s="200"/>
      <c r="AR91" s="202"/>
      <c r="AS91" s="72"/>
      <c r="AT91" s="73"/>
      <c r="AU91" s="75"/>
      <c r="AV91" s="76"/>
      <c r="AW91" s="72"/>
      <c r="AX91" s="73"/>
      <c r="AY91" s="77"/>
      <c r="AZ91" s="78"/>
      <c r="BA91" s="79"/>
      <c r="BB91" s="239" t="s">
        <v>152</v>
      </c>
    </row>
    <row r="92" spans="1:54" ht="12.75">
      <c r="A92" s="113" t="s">
        <v>89</v>
      </c>
      <c r="B92" s="57">
        <v>88</v>
      </c>
      <c r="C92" s="58">
        <v>5.5476488208009642E-3</v>
      </c>
      <c r="D92" s="121">
        <v>202394.11888306576</v>
      </c>
      <c r="E92" s="228">
        <v>197999.33728220579</v>
      </c>
      <c r="F92" s="9">
        <f>C92*Allocations!$B$6</f>
        <v>204535.1548443466</v>
      </c>
      <c r="G92" s="9">
        <f>C92*Allocations!$B$12</f>
        <v>97100.497310479259</v>
      </c>
      <c r="H92" s="11">
        <f t="shared" si="22"/>
        <v>604928.61100961815</v>
      </c>
      <c r="I92" s="15">
        <f t="shared" si="30"/>
        <v>702029.10832009744</v>
      </c>
      <c r="J92" s="59">
        <f t="shared" si="23"/>
        <v>201642.87033653937</v>
      </c>
      <c r="K92" s="60">
        <v>450477.99087873218</v>
      </c>
      <c r="L92" s="61">
        <f t="shared" si="31"/>
        <v>752113.64303355804</v>
      </c>
      <c r="M92" s="11">
        <f t="shared" si="24"/>
        <v>480134.27</v>
      </c>
      <c r="N92" s="11">
        <f t="shared" si="25"/>
        <v>480134.27</v>
      </c>
      <c r="O92" s="62">
        <f t="shared" si="32"/>
        <v>271979.37303355802</v>
      </c>
      <c r="P92" s="80">
        <f t="shared" si="26"/>
        <v>1.3488172062797357</v>
      </c>
      <c r="Q92" s="226">
        <f t="shared" si="27"/>
        <v>1499190.3020996377</v>
      </c>
      <c r="R92" s="223"/>
      <c r="S92" s="122"/>
      <c r="T92" s="122"/>
      <c r="U92" s="122"/>
      <c r="V92" s="65">
        <f t="shared" si="28"/>
        <v>0</v>
      </c>
      <c r="W92" s="121">
        <f t="shared" si="33"/>
        <v>204535.1548443466</v>
      </c>
      <c r="X92" s="66">
        <f t="shared" si="29"/>
        <v>5.5832026856174151E-3</v>
      </c>
      <c r="Y92" s="121">
        <f t="shared" si="34"/>
        <v>1774.0659099672653</v>
      </c>
      <c r="Z92" s="121">
        <f>C92*Allocations!$B$11</f>
        <v>199865.30991395784</v>
      </c>
      <c r="AA92" s="228">
        <f t="shared" si="35"/>
        <v>97100.497310479259</v>
      </c>
      <c r="AB92" s="67">
        <f t="shared" si="36"/>
        <v>269083.59401313652</v>
      </c>
      <c r="AC92" s="81"/>
      <c r="AD92" s="82"/>
      <c r="AE92" s="83"/>
      <c r="AF92" s="84"/>
      <c r="AG92" s="72"/>
      <c r="AH92" s="73"/>
      <c r="AI92" s="72"/>
      <c r="AJ92" s="73"/>
      <c r="AK92" s="72"/>
      <c r="AL92" s="73"/>
      <c r="AM92" s="72"/>
      <c r="AN92" s="73"/>
      <c r="AO92" s="72"/>
      <c r="AP92" s="73"/>
      <c r="AQ92" s="200"/>
      <c r="AR92" s="202"/>
      <c r="AS92" s="72">
        <v>480134.27</v>
      </c>
      <c r="AT92" s="73">
        <v>480134.27</v>
      </c>
      <c r="AU92" s="75"/>
      <c r="AV92" s="76"/>
      <c r="AW92" s="72"/>
      <c r="AX92" s="73"/>
      <c r="AY92" s="77"/>
      <c r="AZ92" s="78"/>
      <c r="BA92" s="79"/>
    </row>
    <row r="93" spans="1:54" ht="12.75">
      <c r="A93" s="113" t="s">
        <v>90</v>
      </c>
      <c r="B93" s="57">
        <v>89</v>
      </c>
      <c r="C93" s="58">
        <v>9.6015514308955153E-3</v>
      </c>
      <c r="D93" s="121">
        <v>375803.69937241822</v>
      </c>
      <c r="E93" s="228">
        <v>355803.97444186977</v>
      </c>
      <c r="F93" s="9">
        <f>C93*Allocations!$B$6</f>
        <v>353997.67939540057</v>
      </c>
      <c r="G93" s="9">
        <f>C93*Allocations!$B$12</f>
        <v>168055.95469496417</v>
      </c>
      <c r="H93" s="11">
        <f t="shared" si="22"/>
        <v>1085605.3532096886</v>
      </c>
      <c r="I93" s="15">
        <f t="shared" si="30"/>
        <v>1253661.3079046528</v>
      </c>
      <c r="J93" s="59">
        <f t="shared" si="23"/>
        <v>361868.45106989617</v>
      </c>
      <c r="K93" s="60">
        <v>1333336.7643224108</v>
      </c>
      <c r="L93" s="61">
        <f t="shared" si="31"/>
        <v>1855390.3984127755</v>
      </c>
      <c r="M93" s="11">
        <f t="shared" si="24"/>
        <v>1992250.56</v>
      </c>
      <c r="N93" s="11">
        <f t="shared" si="25"/>
        <v>1500670.56</v>
      </c>
      <c r="O93" s="62">
        <f t="shared" si="32"/>
        <v>354719.83841277543</v>
      </c>
      <c r="P93" s="80">
        <f t="shared" si="26"/>
        <v>0.98024527245747661</v>
      </c>
      <c r="Q93" s="226">
        <f t="shared" si="27"/>
        <v>2478705.9147851793</v>
      </c>
      <c r="R93" s="223"/>
      <c r="S93" s="122"/>
      <c r="T93" s="122"/>
      <c r="U93" s="122"/>
      <c r="V93" s="65">
        <f t="shared" si="28"/>
        <v>0</v>
      </c>
      <c r="W93" s="121">
        <f t="shared" si="33"/>
        <v>353997.67939540057</v>
      </c>
      <c r="X93" s="66">
        <f t="shared" si="29"/>
        <v>9.6630860147578317E-3</v>
      </c>
      <c r="Y93" s="121">
        <f t="shared" si="34"/>
        <v>3070.4512175465766</v>
      </c>
      <c r="Z93" s="121">
        <f>C93*Allocations!$B$11</f>
        <v>345915.38043925277</v>
      </c>
      <c r="AA93" s="228">
        <f t="shared" si="35"/>
        <v>168055.95469496417</v>
      </c>
      <c r="AB93" s="67">
        <f t="shared" si="36"/>
        <v>349707.99067417427</v>
      </c>
      <c r="AC93" s="81"/>
      <c r="AD93" s="82"/>
      <c r="AE93" s="115">
        <v>669021.30000000005</v>
      </c>
      <c r="AF93" s="59">
        <v>669021.30000000005</v>
      </c>
      <c r="AG93" s="72"/>
      <c r="AH93" s="73"/>
      <c r="AI93" s="72"/>
      <c r="AJ93" s="73"/>
      <c r="AK93" s="72"/>
      <c r="AL93" s="73"/>
      <c r="AM93" s="72"/>
      <c r="AN93" s="73"/>
      <c r="AO93" s="72"/>
      <c r="AP93" s="73"/>
      <c r="AQ93" s="200"/>
      <c r="AR93" s="202"/>
      <c r="AS93" s="72"/>
      <c r="AT93" s="73"/>
      <c r="AU93" s="75"/>
      <c r="AV93" s="76"/>
      <c r="AW93" s="72">
        <v>240766.5</v>
      </c>
      <c r="AX93" s="73">
        <v>240766.5</v>
      </c>
      <c r="AY93" s="77">
        <v>1082462.76</v>
      </c>
      <c r="AZ93" s="78">
        <v>590882.76</v>
      </c>
      <c r="BA93" s="79"/>
    </row>
    <row r="94" spans="1:54" ht="12.75">
      <c r="A94" s="91" t="s">
        <v>91</v>
      </c>
      <c r="B94" s="92">
        <v>90</v>
      </c>
      <c r="C94" s="93">
        <v>1.2628015048182541E-2</v>
      </c>
      <c r="D94" s="221">
        <v>483929.7659627595</v>
      </c>
      <c r="E94" s="229">
        <v>487907.81249069318</v>
      </c>
      <c r="F94" s="10">
        <f>C94*Allocations!$B$6</f>
        <v>465579.76120843244</v>
      </c>
      <c r="G94" s="10">
        <f>C94*Allocations!$B$12</f>
        <v>221028.14738833896</v>
      </c>
      <c r="H94" s="12">
        <f t="shared" si="22"/>
        <v>1437417.3396618851</v>
      </c>
      <c r="I94" s="16">
        <f t="shared" si="30"/>
        <v>1658445.4870502241</v>
      </c>
      <c r="J94" s="94">
        <f t="shared" si="23"/>
        <v>479139.11322062835</v>
      </c>
      <c r="K94" s="95">
        <v>897017.55871665326</v>
      </c>
      <c r="L94" s="96">
        <f t="shared" si="31"/>
        <v>1583625.4673134247</v>
      </c>
      <c r="M94" s="12">
        <f t="shared" si="24"/>
        <v>0</v>
      </c>
      <c r="N94" s="12">
        <f t="shared" si="25"/>
        <v>0</v>
      </c>
      <c r="O94" s="97">
        <f t="shared" si="32"/>
        <v>1583625.4673134247</v>
      </c>
      <c r="P94" s="98">
        <f t="shared" si="26"/>
        <v>3.305147552385721</v>
      </c>
      <c r="Q94" s="227">
        <f t="shared" si="27"/>
        <v>4377104.0345640192</v>
      </c>
      <c r="R94" s="224">
        <v>874253.51</v>
      </c>
      <c r="S94" s="222">
        <v>573843.51</v>
      </c>
      <c r="T94" s="222"/>
      <c r="U94" s="222"/>
      <c r="V94" s="99">
        <f t="shared" si="28"/>
        <v>0</v>
      </c>
      <c r="W94" s="221">
        <f t="shared" si="33"/>
        <v>465579.76120843244</v>
      </c>
      <c r="X94" s="100">
        <f t="shared" si="29"/>
        <v>1.2708945682839831E-2</v>
      </c>
      <c r="Y94" s="221">
        <f t="shared" si="34"/>
        <v>4038.2749036915002</v>
      </c>
      <c r="Z94" s="221">
        <f>C94*Allocations!$B$11</f>
        <v>454949.87565538229</v>
      </c>
      <c r="AA94" s="229">
        <f t="shared" si="35"/>
        <v>221028.14738833896</v>
      </c>
      <c r="AB94" s="101">
        <f t="shared" si="36"/>
        <v>1577033.8566640662</v>
      </c>
      <c r="AC94" s="102"/>
      <c r="AD94" s="103"/>
      <c r="AE94" s="104"/>
      <c r="AF94" s="105"/>
      <c r="AG94" s="106"/>
      <c r="AH94" s="107"/>
      <c r="AI94" s="106"/>
      <c r="AJ94" s="107"/>
      <c r="AK94" s="106"/>
      <c r="AL94" s="107"/>
      <c r="AM94" s="106"/>
      <c r="AN94" s="107"/>
      <c r="AO94" s="106"/>
      <c r="AP94" s="107"/>
      <c r="AQ94" s="203"/>
      <c r="AR94" s="204"/>
      <c r="AS94" s="106"/>
      <c r="AT94" s="107"/>
      <c r="AU94" s="108"/>
      <c r="AV94" s="109"/>
      <c r="AW94" s="106"/>
      <c r="AX94" s="107"/>
      <c r="AY94" s="110"/>
      <c r="AZ94" s="111"/>
      <c r="BA94" s="112"/>
    </row>
    <row r="95" spans="1:54" ht="12.75">
      <c r="A95" s="113" t="s">
        <v>92</v>
      </c>
      <c r="B95" s="57">
        <v>91</v>
      </c>
      <c r="C95" s="58">
        <v>1.52027761634209E-2</v>
      </c>
      <c r="D95" s="121">
        <v>614846.05893289729</v>
      </c>
      <c r="E95" s="228">
        <v>550411.86471862765</v>
      </c>
      <c r="F95" s="13">
        <f>C95*Allocations!$B$6</f>
        <v>560508.1138139324</v>
      </c>
      <c r="G95" s="14">
        <f>C95*Allocations!$B$12</f>
        <v>266094.19118835597</v>
      </c>
      <c r="H95" s="11">
        <f t="shared" si="22"/>
        <v>1725766.0374654573</v>
      </c>
      <c r="I95" s="15">
        <f t="shared" si="30"/>
        <v>1991860.2286538132</v>
      </c>
      <c r="J95" s="59">
        <f t="shared" si="23"/>
        <v>575255.34582181915</v>
      </c>
      <c r="K95" s="60">
        <v>-3183565.3472115183</v>
      </c>
      <c r="L95" s="61">
        <f t="shared" si="31"/>
        <v>-2356963.0422092299</v>
      </c>
      <c r="M95" s="11">
        <f t="shared" si="24"/>
        <v>605531.69999999995</v>
      </c>
      <c r="N95" s="11">
        <f t="shared" si="25"/>
        <v>605531.69999999995</v>
      </c>
      <c r="O95" s="62">
        <f t="shared" si="32"/>
        <v>-2962494.7422092296</v>
      </c>
      <c r="P95" s="80">
        <f t="shared" si="26"/>
        <v>-5.1498778129162126</v>
      </c>
      <c r="Q95" s="226">
        <f t="shared" si="27"/>
        <v>400553.94067436457</v>
      </c>
      <c r="R95" s="223">
        <v>713284.12</v>
      </c>
      <c r="S95" s="122">
        <v>221704.12</v>
      </c>
      <c r="T95" s="122"/>
      <c r="U95" s="122"/>
      <c r="V95" s="65">
        <f t="shared" si="28"/>
        <v>0</v>
      </c>
      <c r="W95" s="121">
        <f t="shared" si="33"/>
        <v>560508.1138139324</v>
      </c>
      <c r="X95" s="66">
        <f t="shared" si="29"/>
        <v>1.5300207970301382E-2</v>
      </c>
      <c r="Y95" s="121">
        <f t="shared" si="34"/>
        <v>4861.6500069833073</v>
      </c>
      <c r="Z95" s="121">
        <f>C95*Allocations!$B$11</f>
        <v>547710.87132655818</v>
      </c>
      <c r="AA95" s="228">
        <f t="shared" si="35"/>
        <v>266094.19118835597</v>
      </c>
      <c r="AB95" s="67">
        <f t="shared" si="36"/>
        <v>-2970430.3346896209</v>
      </c>
      <c r="AC95" s="87">
        <v>605531.69999999995</v>
      </c>
      <c r="AD95" s="88">
        <v>605531.69999999995</v>
      </c>
      <c r="AE95" s="83"/>
      <c r="AF95" s="84"/>
      <c r="AG95" s="72"/>
      <c r="AH95" s="73"/>
      <c r="AI95" s="72"/>
      <c r="AJ95" s="73"/>
      <c r="AK95" s="72"/>
      <c r="AL95" s="73"/>
      <c r="AM95" s="72"/>
      <c r="AN95" s="73"/>
      <c r="AO95" s="72"/>
      <c r="AP95" s="73"/>
      <c r="AQ95" s="200"/>
      <c r="AR95" s="202"/>
      <c r="AS95" s="72"/>
      <c r="AT95" s="73"/>
      <c r="AU95" s="75"/>
      <c r="AV95" s="76"/>
      <c r="AW95" s="72"/>
      <c r="AX95" s="73"/>
      <c r="AY95" s="77"/>
      <c r="AZ95" s="78"/>
      <c r="BA95" s="79"/>
    </row>
    <row r="96" spans="1:54" s="114" customFormat="1" ht="12.75">
      <c r="A96" s="197" t="s">
        <v>93</v>
      </c>
      <c r="B96" s="194">
        <v>92</v>
      </c>
      <c r="C96" s="195">
        <v>9.2470793544053107E-3</v>
      </c>
      <c r="D96" s="11">
        <v>351377.47909955814</v>
      </c>
      <c r="E96" s="230">
        <v>368158.89942494698</v>
      </c>
      <c r="F96" s="9">
        <f>C96*Allocations!$B$6</f>
        <v>340928.7193016985</v>
      </c>
      <c r="G96" s="9">
        <f>C96*Allocations!$B$12</f>
        <v>161851.62994015613</v>
      </c>
      <c r="H96" s="11">
        <f t="shared" si="22"/>
        <v>1060465.0978262036</v>
      </c>
      <c r="I96" s="15">
        <f t="shared" si="30"/>
        <v>1222316.7277663597</v>
      </c>
      <c r="J96" s="59">
        <f t="shared" si="23"/>
        <v>353488.36594206787</v>
      </c>
      <c r="K96" s="60">
        <v>388907.77386775741</v>
      </c>
      <c r="L96" s="61">
        <f t="shared" si="31"/>
        <v>891688.12310961203</v>
      </c>
      <c r="M96" s="11">
        <f t="shared" si="24"/>
        <v>1540070.6099999999</v>
      </c>
      <c r="N96" s="11">
        <f t="shared" si="25"/>
        <v>1185780.0900000001</v>
      </c>
      <c r="O96" s="62">
        <f t="shared" si="32"/>
        <v>-294091.96689038805</v>
      </c>
      <c r="P96" s="80">
        <f t="shared" si="26"/>
        <v>-0.83197071028523151</v>
      </c>
      <c r="Q96" s="226">
        <f t="shared" si="27"/>
        <v>1751480.3489198028</v>
      </c>
      <c r="R96" s="118"/>
      <c r="S96" s="15"/>
      <c r="T96" s="15"/>
      <c r="U96" s="15"/>
      <c r="V96" s="65">
        <f t="shared" si="28"/>
        <v>0</v>
      </c>
      <c r="W96" s="11">
        <f t="shared" si="33"/>
        <v>340928.7193016985</v>
      </c>
      <c r="X96" s="196">
        <f t="shared" si="29"/>
        <v>9.3063421916780645E-3</v>
      </c>
      <c r="Y96" s="11">
        <f t="shared" si="34"/>
        <v>2957.0956596787682</v>
      </c>
      <c r="Z96" s="11">
        <f>C96*Allocations!$B$11</f>
        <v>333144.80434259743</v>
      </c>
      <c r="AA96" s="230">
        <f t="shared" si="35"/>
        <v>161851.62994015613</v>
      </c>
      <c r="AB96" s="60">
        <f t="shared" si="36"/>
        <v>-298918.78618981031</v>
      </c>
      <c r="AC96" s="81"/>
      <c r="AD96" s="82"/>
      <c r="AE96" s="115">
        <f>619973.7+393547.9</f>
        <v>1013521.6</v>
      </c>
      <c r="AF96" s="59">
        <f>540968.18+393547.9</f>
        <v>934516.08000000007</v>
      </c>
      <c r="AG96" s="72"/>
      <c r="AH96" s="73"/>
      <c r="AI96" s="72"/>
      <c r="AJ96" s="73"/>
      <c r="AK96" s="72"/>
      <c r="AL96" s="73"/>
      <c r="AM96" s="72"/>
      <c r="AN96" s="73"/>
      <c r="AO96" s="72"/>
      <c r="AP96" s="73"/>
      <c r="AQ96" s="200"/>
      <c r="AR96" s="202"/>
      <c r="AS96" s="188"/>
      <c r="AT96" s="59"/>
      <c r="AU96" s="188">
        <v>526549.01</v>
      </c>
      <c r="AV96" s="59">
        <v>251264.01</v>
      </c>
      <c r="AW96" s="72"/>
      <c r="AX96" s="73"/>
      <c r="AY96" s="77"/>
      <c r="AZ96" s="78"/>
      <c r="BA96" s="79"/>
      <c r="BB96" s="30"/>
    </row>
    <row r="97" spans="1:54" ht="12.75">
      <c r="A97" s="138" t="s">
        <v>94</v>
      </c>
      <c r="B97" s="57">
        <v>93</v>
      </c>
      <c r="C97" s="58">
        <v>7.7204916101899432E-3</v>
      </c>
      <c r="D97" s="121">
        <v>291231.68955276458</v>
      </c>
      <c r="E97" s="228">
        <v>287782.00740952359</v>
      </c>
      <c r="F97" s="9">
        <f>C97*Allocations!$B$6</f>
        <v>284645.26107777096</v>
      </c>
      <c r="G97" s="9">
        <f>C97*Allocations!$B$12</f>
        <v>135131.76465315453</v>
      </c>
      <c r="H97" s="11">
        <f t="shared" si="22"/>
        <v>863658.95804005908</v>
      </c>
      <c r="I97" s="15">
        <f t="shared" si="30"/>
        <v>998790.72269321361</v>
      </c>
      <c r="J97" s="59">
        <f t="shared" si="23"/>
        <v>287886.31934668636</v>
      </c>
      <c r="K97" s="60">
        <v>-460224.96057949378</v>
      </c>
      <c r="L97" s="61">
        <f t="shared" si="31"/>
        <v>-40447.934848568286</v>
      </c>
      <c r="M97" s="11">
        <f t="shared" si="24"/>
        <v>0</v>
      </c>
      <c r="N97" s="11">
        <f t="shared" si="25"/>
        <v>0</v>
      </c>
      <c r="O97" s="62">
        <f t="shared" si="32"/>
        <v>-40447.934848568286</v>
      </c>
      <c r="P97" s="80">
        <f t="shared" si="26"/>
        <v>-0.14049967688759452</v>
      </c>
      <c r="Q97" s="226">
        <f t="shared" si="27"/>
        <v>1667423.6316180574</v>
      </c>
      <c r="R97" s="223"/>
      <c r="S97" s="122"/>
      <c r="T97" s="122"/>
      <c r="U97" s="122"/>
      <c r="V97" s="65">
        <f t="shared" si="28"/>
        <v>0</v>
      </c>
      <c r="W97" s="121">
        <f t="shared" si="33"/>
        <v>284645.26107777096</v>
      </c>
      <c r="X97" s="66">
        <f t="shared" si="29"/>
        <v>7.7699708263212919E-3</v>
      </c>
      <c r="Y97" s="121">
        <f t="shared" si="34"/>
        <v>2468.9127621904422</v>
      </c>
      <c r="Z97" s="121">
        <f>C97*Allocations!$B$11</f>
        <v>278146.38204440981</v>
      </c>
      <c r="AA97" s="228">
        <f t="shared" si="35"/>
        <v>135131.76465315453</v>
      </c>
      <c r="AB97" s="67">
        <f t="shared" si="36"/>
        <v>-44477.901119738992</v>
      </c>
      <c r="AC97" s="81"/>
      <c r="AD97" s="82"/>
      <c r="AE97" s="83"/>
      <c r="AF97" s="84"/>
      <c r="AG97" s="72"/>
      <c r="AH97" s="73"/>
      <c r="AI97" s="72"/>
      <c r="AJ97" s="73"/>
      <c r="AK97" s="72"/>
      <c r="AL97" s="73"/>
      <c r="AM97" s="72"/>
      <c r="AN97" s="73"/>
      <c r="AO97" s="72"/>
      <c r="AP97" s="73"/>
      <c r="AQ97" s="200"/>
      <c r="AR97" s="202"/>
      <c r="AS97" s="72"/>
      <c r="AT97" s="73"/>
      <c r="AU97" s="72"/>
      <c r="AV97" s="73"/>
      <c r="AW97" s="72"/>
      <c r="AX97" s="73"/>
      <c r="AY97" s="77"/>
      <c r="AZ97" s="78"/>
      <c r="BA97" s="79"/>
    </row>
    <row r="98" spans="1:54" ht="12.75">
      <c r="A98" s="138" t="s">
        <v>95</v>
      </c>
      <c r="B98" s="57">
        <v>94</v>
      </c>
      <c r="C98" s="58">
        <v>1.1189012495157042E-2</v>
      </c>
      <c r="D98" s="121">
        <v>321857.73409742204</v>
      </c>
      <c r="E98" s="228">
        <v>365489.46233505924</v>
      </c>
      <c r="F98" s="9">
        <f>C98*Allocations!$B$6</f>
        <v>412525.46388144593</v>
      </c>
      <c r="G98" s="9">
        <f>C98*Allocations!$B$12</f>
        <v>195841.28570273367</v>
      </c>
      <c r="H98" s="11">
        <f t="shared" si="22"/>
        <v>1099872.6603139271</v>
      </c>
      <c r="I98" s="15">
        <f t="shared" si="30"/>
        <v>1295713.9460166609</v>
      </c>
      <c r="J98" s="59">
        <f t="shared" si="23"/>
        <v>366624.22010464239</v>
      </c>
      <c r="K98" s="60">
        <v>-443831.18751793605</v>
      </c>
      <c r="L98" s="61">
        <f t="shared" si="31"/>
        <v>164535.56206624355</v>
      </c>
      <c r="M98" s="11">
        <f t="shared" si="24"/>
        <v>1588230.71</v>
      </c>
      <c r="N98" s="11">
        <f t="shared" si="25"/>
        <v>1588230.71</v>
      </c>
      <c r="O98" s="62">
        <f t="shared" si="32"/>
        <v>-1423695.1479337565</v>
      </c>
      <c r="P98" s="80">
        <f t="shared" si="26"/>
        <v>-3.8832544874624033</v>
      </c>
      <c r="Q98" s="226">
        <f t="shared" si="27"/>
        <v>1051457.6353549189</v>
      </c>
      <c r="R98" s="223">
        <v>658020</v>
      </c>
      <c r="S98" s="122">
        <v>658020</v>
      </c>
      <c r="T98" s="122"/>
      <c r="U98" s="122"/>
      <c r="V98" s="65">
        <f t="shared" si="28"/>
        <v>0</v>
      </c>
      <c r="W98" s="121">
        <f t="shared" si="33"/>
        <v>412525.46388144593</v>
      </c>
      <c r="X98" s="66">
        <f t="shared" si="29"/>
        <v>1.1260720826115338E-2</v>
      </c>
      <c r="Y98" s="121">
        <f t="shared" si="34"/>
        <v>3578.100610735838</v>
      </c>
      <c r="Z98" s="121">
        <f>C98*Allocations!$B$11</f>
        <v>403106.88765855134</v>
      </c>
      <c r="AA98" s="228">
        <f t="shared" si="35"/>
        <v>195841.28570273367</v>
      </c>
      <c r="AB98" s="67">
        <f t="shared" si="36"/>
        <v>-1429535.6235459154</v>
      </c>
      <c r="AC98" s="81"/>
      <c r="AD98" s="82"/>
      <c r="AE98" s="83"/>
      <c r="AF98" s="84"/>
      <c r="AG98" s="72">
        <f>328686.63+313983.13</f>
        <v>642669.76</v>
      </c>
      <c r="AH98" s="73">
        <f>328686.63+313983.13</f>
        <v>642669.76</v>
      </c>
      <c r="AI98" s="72"/>
      <c r="AJ98" s="73"/>
      <c r="AK98" s="72"/>
      <c r="AL98" s="73"/>
      <c r="AM98" s="72"/>
      <c r="AN98" s="73"/>
      <c r="AO98" s="72"/>
      <c r="AP98" s="73"/>
      <c r="AQ98" s="200"/>
      <c r="AR98" s="202"/>
      <c r="AS98" s="72"/>
      <c r="AT98" s="73"/>
      <c r="AU98" s="72"/>
      <c r="AV98" s="73"/>
      <c r="AW98" s="72"/>
      <c r="AX98" s="73"/>
      <c r="AY98" s="77">
        <v>945560.95</v>
      </c>
      <c r="AZ98" s="78">
        <v>945560.95</v>
      </c>
      <c r="BA98" s="79"/>
    </row>
    <row r="99" spans="1:54" ht="12.75">
      <c r="A99" s="139" t="s">
        <v>96</v>
      </c>
      <c r="B99" s="92">
        <v>95</v>
      </c>
      <c r="C99" s="93">
        <v>3.7856441031956676E-3</v>
      </c>
      <c r="D99" s="221">
        <v>172434.35150164046</v>
      </c>
      <c r="E99" s="229">
        <v>160387.67050288964</v>
      </c>
      <c r="F99" s="10">
        <f>C99*Allocations!$B$6</f>
        <v>139572.15531190042</v>
      </c>
      <c r="G99" s="10">
        <f>C99*Allocations!$B$12</f>
        <v>66260.128738233761</v>
      </c>
      <c r="H99" s="12">
        <f t="shared" si="22"/>
        <v>472394.17731643049</v>
      </c>
      <c r="I99" s="16">
        <f t="shared" si="30"/>
        <v>538654.30605466431</v>
      </c>
      <c r="J99" s="94">
        <f t="shared" si="23"/>
        <v>157464.72577214349</v>
      </c>
      <c r="K99" s="95">
        <v>18173.448047933867</v>
      </c>
      <c r="L99" s="96">
        <f t="shared" si="31"/>
        <v>224005.73209806805</v>
      </c>
      <c r="M99" s="12">
        <f t="shared" si="24"/>
        <v>259260</v>
      </c>
      <c r="N99" s="12">
        <f t="shared" si="25"/>
        <v>259260</v>
      </c>
      <c r="O99" s="97">
        <f t="shared" si="32"/>
        <v>-35254.267901931948</v>
      </c>
      <c r="P99" s="98">
        <f t="shared" si="26"/>
        <v>-0.22388676402958974</v>
      </c>
      <c r="Q99" s="227">
        <f t="shared" si="27"/>
        <v>802178.66396947065</v>
      </c>
      <c r="R99" s="224"/>
      <c r="S99" s="222"/>
      <c r="T99" s="222"/>
      <c r="U99" s="222"/>
      <c r="V99" s="99">
        <f t="shared" si="28"/>
        <v>0</v>
      </c>
      <c r="W99" s="221">
        <f t="shared" si="33"/>
        <v>139572.15531190042</v>
      </c>
      <c r="X99" s="100">
        <f t="shared" si="29"/>
        <v>3.8099056026228754E-3</v>
      </c>
      <c r="Y99" s="221">
        <f t="shared" si="34"/>
        <v>1210.5997275037296</v>
      </c>
      <c r="Z99" s="221">
        <f>C99*Allocations!$B$11</f>
        <v>136385.51327766079</v>
      </c>
      <c r="AA99" s="229">
        <f t="shared" si="35"/>
        <v>66260.128738233761</v>
      </c>
      <c r="AB99" s="101">
        <f t="shared" si="36"/>
        <v>-37230.310208667855</v>
      </c>
      <c r="AC99" s="102"/>
      <c r="AD99" s="103"/>
      <c r="AE99" s="104"/>
      <c r="AF99" s="105"/>
      <c r="AG99" s="106"/>
      <c r="AH99" s="107"/>
      <c r="AI99" s="106"/>
      <c r="AJ99" s="107"/>
      <c r="AK99" s="106"/>
      <c r="AL99" s="107"/>
      <c r="AM99" s="187">
        <v>259260</v>
      </c>
      <c r="AN99" s="94">
        <v>259260</v>
      </c>
      <c r="AO99" s="106"/>
      <c r="AP99" s="107"/>
      <c r="AQ99" s="203"/>
      <c r="AR99" s="204"/>
      <c r="AS99" s="106"/>
      <c r="AT99" s="107"/>
      <c r="AU99" s="106"/>
      <c r="AV99" s="107"/>
      <c r="AW99" s="106"/>
      <c r="AX99" s="107"/>
      <c r="AY99" s="110"/>
      <c r="AZ99" s="111"/>
      <c r="BA99" s="112"/>
    </row>
    <row r="100" spans="1:54" ht="12.75">
      <c r="A100" s="138" t="s">
        <v>97</v>
      </c>
      <c r="B100" s="57">
        <v>96</v>
      </c>
      <c r="C100" s="58">
        <v>1.6145785946336907E-2</v>
      </c>
      <c r="D100" s="121">
        <v>632433.1591119729</v>
      </c>
      <c r="E100" s="228">
        <v>606174.94146872102</v>
      </c>
      <c r="F100" s="9">
        <f>C100*Allocations!$B$6</f>
        <v>595275.75289830612</v>
      </c>
      <c r="G100" s="9">
        <f>C100*Allocations!$B$12</f>
        <v>282599.69141873484</v>
      </c>
      <c r="H100" s="11">
        <f t="shared" si="22"/>
        <v>1833883.853479</v>
      </c>
      <c r="I100" s="15">
        <f t="shared" si="30"/>
        <v>2116483.5448977351</v>
      </c>
      <c r="J100" s="59">
        <f t="shared" si="23"/>
        <v>611294.61782633339</v>
      </c>
      <c r="K100" s="60">
        <v>-1158433.2660214682</v>
      </c>
      <c r="L100" s="61">
        <f t="shared" si="31"/>
        <v>-280557.82170442725</v>
      </c>
      <c r="M100" s="11">
        <f t="shared" si="24"/>
        <v>1584731.3</v>
      </c>
      <c r="N100" s="11">
        <f t="shared" si="25"/>
        <v>1519066.04</v>
      </c>
      <c r="O100" s="62">
        <f t="shared" si="32"/>
        <v>-1799623.8617044273</v>
      </c>
      <c r="P100" s="80">
        <f t="shared" si="26"/>
        <v>-2.9439550246714163</v>
      </c>
      <c r="Q100" s="226">
        <f t="shared" si="27"/>
        <v>1772030.6556854094</v>
      </c>
      <c r="R100" s="223"/>
      <c r="S100" s="122"/>
      <c r="T100" s="122"/>
      <c r="U100" s="122"/>
      <c r="V100" s="65">
        <f t="shared" si="28"/>
        <v>0</v>
      </c>
      <c r="W100" s="121">
        <f t="shared" si="33"/>
        <v>595275.75289830612</v>
      </c>
      <c r="X100" s="66">
        <f t="shared" si="29"/>
        <v>1.6249261330131753E-2</v>
      </c>
      <c r="Y100" s="121">
        <f t="shared" si="34"/>
        <v>5163.212265640369</v>
      </c>
      <c r="Z100" s="121">
        <f>C100*Allocations!$B$11</f>
        <v>581684.71296695073</v>
      </c>
      <c r="AA100" s="228">
        <f t="shared" si="35"/>
        <v>282599.69141873484</v>
      </c>
      <c r="AB100" s="67">
        <f t="shared" si="36"/>
        <v>-1808051.6893701423</v>
      </c>
      <c r="AC100" s="87">
        <v>328326.3</v>
      </c>
      <c r="AD100" s="88">
        <v>262661.03999999998</v>
      </c>
      <c r="AE100" s="83"/>
      <c r="AF100" s="84"/>
      <c r="AG100" s="72">
        <v>1256405</v>
      </c>
      <c r="AH100" s="73">
        <v>1256405</v>
      </c>
      <c r="AI100" s="72"/>
      <c r="AJ100" s="73"/>
      <c r="AK100" s="72"/>
      <c r="AL100" s="73"/>
      <c r="AM100" s="72"/>
      <c r="AN100" s="74"/>
      <c r="AO100" s="72"/>
      <c r="AP100" s="73"/>
      <c r="AQ100" s="200"/>
      <c r="AR100" s="202"/>
      <c r="AS100" s="72"/>
      <c r="AT100" s="73"/>
      <c r="AU100" s="72"/>
      <c r="AV100" s="73"/>
      <c r="AW100" s="72"/>
      <c r="AX100" s="73"/>
      <c r="AY100" s="77"/>
      <c r="AZ100" s="78"/>
      <c r="BA100" s="79"/>
    </row>
    <row r="101" spans="1:54" ht="12.75">
      <c r="A101" s="138" t="s">
        <v>98</v>
      </c>
      <c r="B101" s="57">
        <v>97</v>
      </c>
      <c r="C101" s="58">
        <v>1.7657984416327321E-2</v>
      </c>
      <c r="D101" s="121">
        <v>533544.33987406967</v>
      </c>
      <c r="E101" s="228">
        <v>629320.62058755953</v>
      </c>
      <c r="F101" s="9">
        <f>C101*Allocations!$B$6</f>
        <v>651028.69584868872</v>
      </c>
      <c r="G101" s="9">
        <f>C101*Allocations!$B$12</f>
        <v>309067.70123897702</v>
      </c>
      <c r="H101" s="11">
        <f t="shared" si="22"/>
        <v>1813893.6563103178</v>
      </c>
      <c r="I101" s="15">
        <f t="shared" si="30"/>
        <v>2122961.3575492948</v>
      </c>
      <c r="J101" s="59">
        <f t="shared" si="23"/>
        <v>604631.21877010597</v>
      </c>
      <c r="K101" s="60">
        <v>290042.96217976313</v>
      </c>
      <c r="L101" s="61">
        <f t="shared" si="31"/>
        <v>1250139.359267429</v>
      </c>
      <c r="M101" s="11">
        <f t="shared" si="24"/>
        <v>1577401.15</v>
      </c>
      <c r="N101" s="11">
        <f t="shared" si="25"/>
        <v>1577401.15</v>
      </c>
      <c r="O101" s="62">
        <f t="shared" si="32"/>
        <v>-327261.79073257092</v>
      </c>
      <c r="P101" s="80">
        <f t="shared" si="26"/>
        <v>-0.54125850695943478</v>
      </c>
      <c r="Q101" s="226">
        <f t="shared" si="27"/>
        <v>3578910.3843595614</v>
      </c>
      <c r="R101" s="223"/>
      <c r="S101" s="122"/>
      <c r="T101" s="122"/>
      <c r="U101" s="122"/>
      <c r="V101" s="65">
        <f t="shared" si="28"/>
        <v>0</v>
      </c>
      <c r="W101" s="121">
        <f t="shared" si="33"/>
        <v>651028.69584868872</v>
      </c>
      <c r="X101" s="66">
        <f t="shared" ref="X101:X132" si="37">IF(W101&gt;0.01,F101/$W$104,0)</f>
        <v>1.7771151203041562E-2</v>
      </c>
      <c r="Y101" s="121">
        <f t="shared" si="34"/>
        <v>5646.7936604567985</v>
      </c>
      <c r="Z101" s="121">
        <f>C101*Allocations!$B$11</f>
        <v>636164.7324524686</v>
      </c>
      <c r="AA101" s="228">
        <f t="shared" si="35"/>
        <v>309067.70123897702</v>
      </c>
      <c r="AB101" s="67">
        <f t="shared" si="36"/>
        <v>-336478.96046833426</v>
      </c>
      <c r="AC101" s="81"/>
      <c r="AD101" s="82"/>
      <c r="AE101" s="83"/>
      <c r="AF101" s="84"/>
      <c r="AG101" s="72"/>
      <c r="AH101" s="73"/>
      <c r="AI101" s="72"/>
      <c r="AJ101" s="73"/>
      <c r="AK101" s="72"/>
      <c r="AL101" s="73"/>
      <c r="AM101" s="72"/>
      <c r="AN101" s="73"/>
      <c r="AO101" s="72"/>
      <c r="AP101" s="73"/>
      <c r="AQ101" s="210">
        <v>603460.9</v>
      </c>
      <c r="AR101" s="206">
        <v>603460.9</v>
      </c>
      <c r="AS101" s="188"/>
      <c r="AT101" s="59"/>
      <c r="AU101" s="188">
        <v>973940.25</v>
      </c>
      <c r="AV101" s="59">
        <v>973940.25</v>
      </c>
      <c r="AW101" s="72"/>
      <c r="AX101" s="73"/>
      <c r="AY101" s="77"/>
      <c r="AZ101" s="78"/>
      <c r="BA101" s="79"/>
      <c r="BB101" s="211" t="s">
        <v>145</v>
      </c>
    </row>
    <row r="102" spans="1:54" ht="12.75">
      <c r="A102" s="138" t="s">
        <v>99</v>
      </c>
      <c r="B102" s="57">
        <v>98</v>
      </c>
      <c r="C102" s="58">
        <v>3.9175163642481128E-3</v>
      </c>
      <c r="D102" s="121">
        <v>153577.2135142308</v>
      </c>
      <c r="E102" s="228">
        <v>141815.21298487351</v>
      </c>
      <c r="F102" s="9">
        <f>C102*Allocations!$B$6</f>
        <v>144434.12733019082</v>
      </c>
      <c r="G102" s="9">
        <f>C102*Allocations!$B$12</f>
        <v>68568.288923434709</v>
      </c>
      <c r="H102" s="11">
        <f t="shared" si="22"/>
        <v>439826.5538292951</v>
      </c>
      <c r="I102" s="15">
        <f t="shared" si="30"/>
        <v>508394.84275272978</v>
      </c>
      <c r="J102" s="59">
        <f t="shared" si="23"/>
        <v>146608.8512764317</v>
      </c>
      <c r="K102" s="60">
        <v>258327.16141680232</v>
      </c>
      <c r="L102" s="61">
        <f t="shared" si="31"/>
        <v>471329.57767042785</v>
      </c>
      <c r="M102" s="11">
        <f t="shared" si="24"/>
        <v>474997.6</v>
      </c>
      <c r="N102" s="11">
        <f t="shared" si="25"/>
        <v>474997.6</v>
      </c>
      <c r="O102" s="62">
        <f t="shared" si="32"/>
        <v>-3668.0223295721225</v>
      </c>
      <c r="P102" s="80">
        <f t="shared" si="26"/>
        <v>-2.5019105583577957E-2</v>
      </c>
      <c r="Q102" s="226">
        <f t="shared" si="27"/>
        <v>862936.74165157275</v>
      </c>
      <c r="R102" s="223"/>
      <c r="S102" s="122"/>
      <c r="T102" s="122"/>
      <c r="U102" s="122"/>
      <c r="V102" s="65">
        <f t="shared" si="28"/>
        <v>0</v>
      </c>
      <c r="W102" s="121">
        <f t="shared" si="33"/>
        <v>144434.12733019082</v>
      </c>
      <c r="X102" s="66">
        <f t="shared" si="37"/>
        <v>3.9426230088339181E-3</v>
      </c>
      <c r="Y102" s="121">
        <f t="shared" si="34"/>
        <v>1252.7707607396924</v>
      </c>
      <c r="Z102" s="121">
        <f>C102*Allocations!$B$11</f>
        <v>141136.47916891848</v>
      </c>
      <c r="AA102" s="228">
        <f t="shared" si="35"/>
        <v>68568.288923434709</v>
      </c>
      <c r="AB102" s="67">
        <f t="shared" si="36"/>
        <v>-5712.8997301047784</v>
      </c>
      <c r="AC102" s="87"/>
      <c r="AD102" s="88"/>
      <c r="AE102" s="115">
        <v>474997.6</v>
      </c>
      <c r="AF102" s="59">
        <v>474997.6</v>
      </c>
      <c r="AG102" s="72"/>
      <c r="AH102" s="73"/>
      <c r="AI102" s="72"/>
      <c r="AJ102" s="73"/>
      <c r="AK102" s="72"/>
      <c r="AL102" s="73"/>
      <c r="AM102" s="72"/>
      <c r="AN102" s="73"/>
      <c r="AO102" s="72"/>
      <c r="AP102" s="73"/>
      <c r="AQ102" s="200"/>
      <c r="AR102" s="202"/>
      <c r="AS102" s="72"/>
      <c r="AT102" s="73"/>
      <c r="AU102" s="75"/>
      <c r="AV102" s="76"/>
      <c r="AW102" s="72"/>
      <c r="AX102" s="73"/>
      <c r="AY102" s="77"/>
      <c r="AZ102" s="78"/>
      <c r="BA102" s="79"/>
    </row>
    <row r="103" spans="1:54" ht="12.75">
      <c r="A103" s="91" t="s">
        <v>100</v>
      </c>
      <c r="B103" s="92">
        <v>99</v>
      </c>
      <c r="C103" s="58">
        <v>8.1406417358789746E-3</v>
      </c>
      <c r="D103" s="221">
        <v>273982.5709846004</v>
      </c>
      <c r="E103" s="229">
        <v>335728.66829731181</v>
      </c>
      <c r="F103" s="10">
        <f>C103*Allocations!$B$6</f>
        <v>300135.69203177473</v>
      </c>
      <c r="G103" s="10">
        <f>C103*Allocations!$B$12</f>
        <v>142485.65230308965</v>
      </c>
      <c r="H103" s="12">
        <f t="shared" si="22"/>
        <v>909846.931313687</v>
      </c>
      <c r="I103" s="16">
        <f t="shared" si="30"/>
        <v>1052332.5836167766</v>
      </c>
      <c r="J103" s="94">
        <f t="shared" si="23"/>
        <v>303282.31043789565</v>
      </c>
      <c r="K103" s="131">
        <v>-511559.57725845609</v>
      </c>
      <c r="L103" s="61">
        <f t="shared" si="31"/>
        <v>-68938.232923591684</v>
      </c>
      <c r="M103" s="11">
        <f t="shared" si="24"/>
        <v>0</v>
      </c>
      <c r="N103" s="11">
        <f t="shared" si="25"/>
        <v>0</v>
      </c>
      <c r="O103" s="62">
        <f t="shared" si="32"/>
        <v>-68938.232923591684</v>
      </c>
      <c r="P103" s="80">
        <f t="shared" si="26"/>
        <v>-0.22730713447828488</v>
      </c>
      <c r="Q103" s="227">
        <f t="shared" si="27"/>
        <v>1731875.9192670567</v>
      </c>
      <c r="R103" s="224"/>
      <c r="S103" s="222"/>
      <c r="T103" s="222"/>
      <c r="U103" s="222"/>
      <c r="V103" s="65">
        <f t="shared" si="28"/>
        <v>0</v>
      </c>
      <c r="W103" s="121">
        <f t="shared" si="33"/>
        <v>300135.69203177473</v>
      </c>
      <c r="X103" s="100">
        <f t="shared" si="37"/>
        <v>8.1928136171832439E-3</v>
      </c>
      <c r="Y103" s="221">
        <f t="shared" si="34"/>
        <v>2603.2713056257417</v>
      </c>
      <c r="Z103" s="221">
        <f>C103*Allocations!$B$11</f>
        <v>293283.14318299654</v>
      </c>
      <c r="AA103" s="228">
        <f t="shared" si="35"/>
        <v>142485.65230308965</v>
      </c>
      <c r="AB103" s="67">
        <f t="shared" si="36"/>
        <v>-73187.510466744163</v>
      </c>
      <c r="AC103" s="102"/>
      <c r="AD103" s="103"/>
      <c r="AE103" s="104"/>
      <c r="AF103" s="105"/>
      <c r="AG103" s="106"/>
      <c r="AH103" s="107"/>
      <c r="AI103" s="106"/>
      <c r="AJ103" s="107"/>
      <c r="AK103" s="106"/>
      <c r="AL103" s="107"/>
      <c r="AM103" s="106"/>
      <c r="AN103" s="107"/>
      <c r="AO103" s="106"/>
      <c r="AP103" s="107"/>
      <c r="AQ103" s="203"/>
      <c r="AR103" s="204"/>
      <c r="AS103" s="106"/>
      <c r="AT103" s="107"/>
      <c r="AU103" s="108"/>
      <c r="AV103" s="109"/>
      <c r="AW103" s="106"/>
      <c r="AX103" s="107"/>
      <c r="AY103" s="110"/>
      <c r="AZ103" s="111"/>
      <c r="BA103" s="112"/>
    </row>
    <row r="104" spans="1:54" ht="13.5" thickBot="1">
      <c r="A104" s="26"/>
      <c r="B104" s="140"/>
      <c r="C104" s="141">
        <f>SUM(C5:C103)</f>
        <v>1</v>
      </c>
      <c r="D104" s="235">
        <f>SUM(D5:D103)</f>
        <v>36133449.120000005</v>
      </c>
      <c r="E104" s="232">
        <f>SUM(E5:E103)</f>
        <v>36868753.999999993</v>
      </c>
      <c r="F104" s="142">
        <f>SUM(F5:F103)</f>
        <v>36868800.000000015</v>
      </c>
      <c r="G104" s="142">
        <f>SUM(G5:G103)</f>
        <v>17502999.999999993</v>
      </c>
      <c r="H104" s="143">
        <f t="shared" ref="H104:O104" si="38">SUM(H5:H103)</f>
        <v>109871003.11999999</v>
      </c>
      <c r="I104" s="143">
        <f t="shared" si="38"/>
        <v>127374003.11999997</v>
      </c>
      <c r="J104" s="144">
        <f t="shared" si="38"/>
        <v>36623667.706666671</v>
      </c>
      <c r="K104" s="145">
        <f>SUM(K5:K103)</f>
        <v>-5209510.7419964448</v>
      </c>
      <c r="L104" s="146">
        <f t="shared" si="38"/>
        <v>49162289.258003533</v>
      </c>
      <c r="M104" s="147">
        <f t="shared" si="38"/>
        <v>66603014.820000015</v>
      </c>
      <c r="N104" s="147">
        <f t="shared" si="38"/>
        <v>55276042.910000019</v>
      </c>
      <c r="O104" s="148">
        <f t="shared" si="38"/>
        <v>-6113753.6519964524</v>
      </c>
      <c r="P104" s="149"/>
      <c r="Q104" s="64"/>
      <c r="R104" s="236">
        <f>SUM(R5:R103)</f>
        <v>11608306.859999999</v>
      </c>
      <c r="S104" s="237">
        <f>SUM(S5:S103)</f>
        <v>8153591.8399999989</v>
      </c>
      <c r="T104" s="237">
        <f>SUM(T5:T103)</f>
        <v>7087082.2299999995</v>
      </c>
      <c r="U104" s="238">
        <f>SUM(U5:U103)</f>
        <v>7087082.2299999995</v>
      </c>
      <c r="V104" s="150">
        <f t="shared" ref="V104:AW104" si="39">SUM(V5:V103)</f>
        <v>317750.58328749915</v>
      </c>
      <c r="W104" s="151">
        <f t="shared" si="39"/>
        <v>36634019.282738648</v>
      </c>
      <c r="X104" s="152">
        <f t="shared" si="39"/>
        <v>0.99999999999999967</v>
      </c>
      <c r="Y104" s="153">
        <f t="shared" si="39"/>
        <v>317750.58328749903</v>
      </c>
      <c r="Z104" s="247">
        <f>SUM(Z5:Z103)</f>
        <v>36027029.895000003</v>
      </c>
      <c r="AA104" s="246">
        <f>SUM(AA5:AA103)</f>
        <v>17502999.999999993</v>
      </c>
      <c r="AB104" s="154">
        <f>K104-N104+Y104+Z104+AA104-V104</f>
        <v>-6955523.7569964668</v>
      </c>
      <c r="AC104" s="155">
        <f t="shared" si="39"/>
        <v>3485990.99</v>
      </c>
      <c r="AD104" s="156">
        <f>SUM(AD5:AD103)</f>
        <v>3339849.66</v>
      </c>
      <c r="AE104" s="157">
        <f t="shared" si="39"/>
        <v>6616241.0299999984</v>
      </c>
      <c r="AF104" s="158">
        <f>SUM(AF5:AF103)</f>
        <v>6537235.5099999988</v>
      </c>
      <c r="AG104" s="159">
        <f t="shared" si="39"/>
        <v>16825540.450000003</v>
      </c>
      <c r="AH104" s="160">
        <f>SUM(AH5:AH103)</f>
        <v>14500080.33</v>
      </c>
      <c r="AI104" s="161">
        <f t="shared" si="39"/>
        <v>3173967.9299999997</v>
      </c>
      <c r="AJ104" s="158">
        <f>SUM(AJ5:AJ103)</f>
        <v>2624110.3600000003</v>
      </c>
      <c r="AK104" s="159">
        <f t="shared" si="39"/>
        <v>3552626.1</v>
      </c>
      <c r="AL104" s="160">
        <f>SUM(AL5:AL103)</f>
        <v>3453551.7</v>
      </c>
      <c r="AM104" s="161">
        <f t="shared" si="39"/>
        <v>4445886.07</v>
      </c>
      <c r="AN104" s="158">
        <f>SUM(AN5:AN103)</f>
        <v>3837887.5800000005</v>
      </c>
      <c r="AO104" s="161">
        <f t="shared" si="39"/>
        <v>3720035.16</v>
      </c>
      <c r="AP104" s="162">
        <f>SUM(AP5:AP103)</f>
        <v>3419625.16</v>
      </c>
      <c r="AQ104" s="161">
        <f t="shared" si="39"/>
        <v>3291288.43</v>
      </c>
      <c r="AR104" s="158">
        <f>SUM(AR5:AR103)</f>
        <v>3255309.63</v>
      </c>
      <c r="AS104" s="159">
        <f t="shared" si="39"/>
        <v>1253265.0899999999</v>
      </c>
      <c r="AT104" s="160">
        <f>SUM(AT5:AT103)</f>
        <v>1253265.0899999999</v>
      </c>
      <c r="AU104" s="160">
        <f t="shared" ref="AU104:AV104" si="40">SUM(AU5:AU103)</f>
        <v>3264086.2300000004</v>
      </c>
      <c r="AV104" s="160">
        <f t="shared" si="40"/>
        <v>2341554.23</v>
      </c>
      <c r="AW104" s="161">
        <f t="shared" si="39"/>
        <v>3104655.18</v>
      </c>
      <c r="AX104" s="158">
        <f>SUM(AX5:AX103)</f>
        <v>3104655.18</v>
      </c>
      <c r="AY104" s="163">
        <f>SUM(AY5:AY103)</f>
        <v>13869432.159999998</v>
      </c>
      <c r="AZ104" s="164">
        <f>SUM(AZ5:AZ103)</f>
        <v>7608918.4800000004</v>
      </c>
      <c r="BA104" s="214"/>
    </row>
    <row r="105" spans="1:54" ht="13.5" thickTop="1">
      <c r="K105" s="168"/>
      <c r="W105" s="183"/>
      <c r="AD105" s="173">
        <f>IF(AC104=0,0,(AD104/AC104)*100)</f>
        <v>95.807753651136082</v>
      </c>
      <c r="AE105" s="26"/>
      <c r="AF105" s="174">
        <f>IF(AE104=0,0,(AF104/AE104)*100)</f>
        <v>98.805885099382479</v>
      </c>
      <c r="AG105" s="26"/>
      <c r="AH105" s="174">
        <f>IF(AG104=0,0,(AH104/AG104)*100)</f>
        <v>86.178987076756854</v>
      </c>
      <c r="AI105" s="26"/>
      <c r="AJ105" s="174">
        <f>IF(AI104=0,0,(AJ104/AI104)*100)</f>
        <v>82.676019981084067</v>
      </c>
      <c r="AK105" s="27"/>
      <c r="AL105" s="175">
        <f>IF(AK104=0,0,(AL104/AK104)*100)</f>
        <v>97.211234810215458</v>
      </c>
      <c r="AM105" s="26"/>
      <c r="AN105" s="174">
        <f>IF(AM104=0,0,(AN104/AM104)*100)</f>
        <v>86.324469848594205</v>
      </c>
      <c r="AO105" s="26"/>
      <c r="AP105" s="174">
        <f>IF(AO104=0,0,(AP104/AO104)*100)</f>
        <v>91.924538691725701</v>
      </c>
      <c r="AQ105" s="26"/>
      <c r="AR105" s="174">
        <f>IF(AQ104=0,0,(AR104/AQ104)*100)</f>
        <v>98.90684755331516</v>
      </c>
      <c r="AS105" s="27"/>
      <c r="AT105" s="174">
        <f>IF(AS104=0,0,(AT104/AS104)*100)</f>
        <v>100</v>
      </c>
      <c r="AU105" s="28"/>
      <c r="AV105" s="213">
        <f>IF(AU104=0,0,(AV104/AU104)*100)</f>
        <v>71.736898629666399</v>
      </c>
      <c r="AW105" s="26"/>
      <c r="AX105" s="174">
        <f>IF(AW104=0,0,(AX104/AW104)*100)</f>
        <v>100</v>
      </c>
      <c r="AY105" s="26"/>
      <c r="AZ105" s="174">
        <f>IF(AY104=0,0,(AZ104/AY104)*100)</f>
        <v>54.861067073419399</v>
      </c>
      <c r="BA105" s="176"/>
    </row>
    <row r="106" spans="1:54" ht="15" customHeight="1">
      <c r="V106" s="178"/>
      <c r="W106" s="244"/>
      <c r="AC106" s="179"/>
      <c r="AD106" s="179"/>
      <c r="AE106" s="180"/>
      <c r="AF106" s="180"/>
      <c r="AM106" s="248"/>
      <c r="AN106" s="248"/>
    </row>
    <row r="107" spans="1:54" ht="12.75" customHeight="1">
      <c r="V107" s="178"/>
      <c r="W107" s="245"/>
      <c r="AC107" s="179"/>
      <c r="AD107" s="179"/>
      <c r="AE107" s="180"/>
      <c r="AF107" s="180"/>
      <c r="AM107" s="248"/>
      <c r="AN107" s="248"/>
    </row>
    <row r="108" spans="1:54" ht="12.75" customHeight="1">
      <c r="AM108" s="259"/>
      <c r="AN108" s="259"/>
      <c r="AP108" s="183"/>
    </row>
    <row r="109" spans="1:54" ht="12.75" customHeight="1">
      <c r="AM109" s="259"/>
      <c r="AN109" s="259"/>
    </row>
    <row r="110" spans="1:54" ht="12.75" customHeight="1">
      <c r="AM110" s="260"/>
      <c r="AN110" s="260"/>
    </row>
    <row r="111" spans="1:54">
      <c r="AM111" s="260"/>
      <c r="AN111" s="260"/>
    </row>
    <row r="112" spans="1:54">
      <c r="AM112" s="260"/>
      <c r="AN112" s="260"/>
    </row>
    <row r="113" spans="39:40">
      <c r="AM113" s="260"/>
      <c r="AN113" s="260"/>
    </row>
    <row r="114" spans="39:40">
      <c r="AM114" s="260"/>
      <c r="AN114" s="260"/>
    </row>
  </sheetData>
  <mergeCells count="46">
    <mergeCell ref="A1:D1"/>
    <mergeCell ref="M2:N2"/>
    <mergeCell ref="AC3:AD3"/>
    <mergeCell ref="AE3:AF3"/>
    <mergeCell ref="AO3:AP3"/>
    <mergeCell ref="AK3:AL3"/>
    <mergeCell ref="D3:D4"/>
    <mergeCell ref="F3:F4"/>
    <mergeCell ref="H3:H4"/>
    <mergeCell ref="J3:J4"/>
    <mergeCell ref="K2:K4"/>
    <mergeCell ref="C2:C4"/>
    <mergeCell ref="D2:J2"/>
    <mergeCell ref="G3:G4"/>
    <mergeCell ref="I3:I4"/>
    <mergeCell ref="AQ3:AR3"/>
    <mergeCell ref="N3:N4"/>
    <mergeCell ref="V2:V4"/>
    <mergeCell ref="X2:X4"/>
    <mergeCell ref="W2:W4"/>
    <mergeCell ref="Y2:Y4"/>
    <mergeCell ref="AM3:AN3"/>
    <mergeCell ref="AM108:AN109"/>
    <mergeCell ref="AM110:AN114"/>
    <mergeCell ref="A2:A4"/>
    <mergeCell ref="B2:B4"/>
    <mergeCell ref="O2:O4"/>
    <mergeCell ref="Z2:Z4"/>
    <mergeCell ref="P2:P4"/>
    <mergeCell ref="R2:U2"/>
    <mergeCell ref="L2:L4"/>
    <mergeCell ref="AB2:AB4"/>
    <mergeCell ref="AC2:AZ2"/>
    <mergeCell ref="AS3:AT3"/>
    <mergeCell ref="AU3:AV3"/>
    <mergeCell ref="AW3:AX3"/>
    <mergeCell ref="AY3:AZ3"/>
    <mergeCell ref="AG3:AH3"/>
    <mergeCell ref="AM106:AN107"/>
    <mergeCell ref="AI3:AJ3"/>
    <mergeCell ref="M3:M4"/>
    <mergeCell ref="E3:E4"/>
    <mergeCell ref="R3:S3"/>
    <mergeCell ref="T3:U3"/>
    <mergeCell ref="Q2:Q4"/>
    <mergeCell ref="AA2:AA4"/>
  </mergeCells>
  <printOptions headings="1" gridLines="1"/>
  <pageMargins left="0.2" right="0.2" top="0.75" bottom="0.75" header="0.3" footer="0.3"/>
  <pageSetup paperSize="1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Allocations</vt:lpstr>
      <vt:lpstr>Worksheet</vt:lpstr>
      <vt:lpstr>Worksheet!Print_Area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Buchwald</dc:creator>
  <cp:lastModifiedBy>Stinn, Nicole</cp:lastModifiedBy>
  <cp:lastPrinted>2013-11-08T18:31:22Z</cp:lastPrinted>
  <dcterms:created xsi:type="dcterms:W3CDTF">2010-06-08T23:01:27Z</dcterms:created>
  <dcterms:modified xsi:type="dcterms:W3CDTF">2020-12-29T20:14:20Z</dcterms:modified>
</cp:coreProperties>
</file>