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HBP Funds\FFY2016\"/>
    </mc:Choice>
  </mc:AlternateContent>
  <bookViews>
    <workbookView xWindow="2280" yWindow="440" windowWidth="13950" windowHeight="11340" activeTab="1"/>
  </bookViews>
  <sheets>
    <sheet name="Allocations" sheetId="4" r:id="rId1"/>
    <sheet name="Worksheet" sheetId="1" r:id="rId2"/>
  </sheets>
  <definedNames>
    <definedName name="_xlnm.Print_Area" localSheetId="1">Worksheet!$A$1:$T$104</definedName>
  </definedNames>
  <calcPr calcId="171027"/>
</workbook>
</file>

<file path=xl/calcChain.xml><?xml version="1.0" encoding="utf-8"?>
<calcChain xmlns="http://schemas.openxmlformats.org/spreadsheetml/2006/main">
  <c r="S93" i="1" l="1"/>
  <c r="S68" i="1"/>
  <c r="S61" i="1"/>
  <c r="S33" i="1"/>
  <c r="S17" i="1"/>
  <c r="S13" i="1"/>
  <c r="S11" i="1"/>
  <c r="AE58" i="1" l="1"/>
  <c r="K6" i="1" l="1"/>
  <c r="L6" i="1"/>
  <c r="AM58" i="1" l="1"/>
  <c r="AG42" i="1" l="1"/>
  <c r="AE83" i="1" l="1"/>
  <c r="AE100" i="1" l="1"/>
  <c r="AE28" i="1" l="1"/>
  <c r="AD28" i="1"/>
  <c r="AC65" i="1" l="1"/>
  <c r="L22" i="1" l="1"/>
  <c r="L23" i="1"/>
  <c r="K22" i="1"/>
  <c r="K23" i="1"/>
  <c r="F5" i="1" l="1"/>
  <c r="I104" i="1"/>
  <c r="E104" i="1"/>
  <c r="D104" i="1"/>
  <c r="L8" i="1"/>
  <c r="K8" i="1"/>
  <c r="AV104" i="1"/>
  <c r="AW104" i="1"/>
  <c r="AG104" i="1"/>
  <c r="AU104" i="1"/>
  <c r="AS104" i="1"/>
  <c r="AQ104" i="1"/>
  <c r="AO104" i="1"/>
  <c r="AM104" i="1"/>
  <c r="AK104" i="1"/>
  <c r="AI104" i="1"/>
  <c r="AE104" i="1"/>
  <c r="AC104" i="1"/>
  <c r="AA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5" i="1"/>
  <c r="X14" i="1"/>
  <c r="B5" i="4"/>
  <c r="F6" i="1"/>
  <c r="F7" i="1"/>
  <c r="F8" i="1"/>
  <c r="F9" i="1"/>
  <c r="F10" i="1"/>
  <c r="H10" i="1" s="1"/>
  <c r="F11" i="1"/>
  <c r="J11" i="1" s="1"/>
  <c r="F12" i="1"/>
  <c r="F13" i="1"/>
  <c r="F14" i="1"/>
  <c r="F15" i="1"/>
  <c r="F16" i="1"/>
  <c r="F17" i="1"/>
  <c r="F18" i="1"/>
  <c r="F19" i="1"/>
  <c r="H19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H42" i="1" s="1"/>
  <c r="F43" i="1"/>
  <c r="F44" i="1"/>
  <c r="F45" i="1"/>
  <c r="F46" i="1"/>
  <c r="F47" i="1"/>
  <c r="F48" i="1"/>
  <c r="F49" i="1"/>
  <c r="F50" i="1"/>
  <c r="F51" i="1"/>
  <c r="F52" i="1"/>
  <c r="F53" i="1"/>
  <c r="F54" i="1"/>
  <c r="H54" i="1" s="1"/>
  <c r="F55" i="1"/>
  <c r="F56" i="1"/>
  <c r="F57" i="1"/>
  <c r="F58" i="1"/>
  <c r="F59" i="1"/>
  <c r="F60" i="1"/>
  <c r="F61" i="1"/>
  <c r="F62" i="1"/>
  <c r="F63" i="1"/>
  <c r="H63" i="1" s="1"/>
  <c r="F64" i="1"/>
  <c r="F65" i="1"/>
  <c r="F66" i="1"/>
  <c r="F67" i="1"/>
  <c r="F68" i="1"/>
  <c r="F69" i="1"/>
  <c r="J69" i="1" s="1"/>
  <c r="F70" i="1"/>
  <c r="H70" i="1" s="1"/>
  <c r="F71" i="1"/>
  <c r="F72" i="1"/>
  <c r="F73" i="1"/>
  <c r="F74" i="1"/>
  <c r="F75" i="1"/>
  <c r="F76" i="1"/>
  <c r="F77" i="1"/>
  <c r="F78" i="1"/>
  <c r="F79" i="1"/>
  <c r="F80" i="1"/>
  <c r="F81" i="1"/>
  <c r="F82" i="1"/>
  <c r="H82" i="1" s="1"/>
  <c r="F83" i="1"/>
  <c r="J83" i="1" s="1"/>
  <c r="F84" i="1"/>
  <c r="F85" i="1"/>
  <c r="F86" i="1"/>
  <c r="F87" i="1"/>
  <c r="F88" i="1"/>
  <c r="F89" i="1"/>
  <c r="F90" i="1"/>
  <c r="H90" i="1" s="1"/>
  <c r="F91" i="1"/>
  <c r="F92" i="1"/>
  <c r="H92" i="1" s="1"/>
  <c r="F93" i="1"/>
  <c r="F94" i="1"/>
  <c r="F95" i="1"/>
  <c r="F96" i="1"/>
  <c r="F97" i="1"/>
  <c r="F98" i="1"/>
  <c r="F99" i="1"/>
  <c r="F100" i="1"/>
  <c r="H100" i="1" s="1"/>
  <c r="F101" i="1"/>
  <c r="F102" i="1"/>
  <c r="F103" i="1"/>
  <c r="C104" i="1"/>
  <c r="J9" i="1"/>
  <c r="J13" i="1"/>
  <c r="J19" i="1"/>
  <c r="J51" i="1"/>
  <c r="AR104" i="1"/>
  <c r="AT104" i="1"/>
  <c r="AP104" i="1"/>
  <c r="AN104" i="1"/>
  <c r="AL104" i="1"/>
  <c r="AJ104" i="1"/>
  <c r="AH104" i="1"/>
  <c r="AF104" i="1"/>
  <c r="AD104" i="1"/>
  <c r="AB104" i="1"/>
  <c r="AC105" i="1" s="1"/>
  <c r="Z104" i="1"/>
  <c r="G67" i="1"/>
  <c r="G43" i="1"/>
  <c r="G27" i="1"/>
  <c r="G23" i="1"/>
  <c r="G11" i="1"/>
  <c r="G7" i="1"/>
  <c r="G5" i="1"/>
  <c r="H9" i="1"/>
  <c r="H13" i="1"/>
  <c r="H17" i="1"/>
  <c r="H21" i="1"/>
  <c r="H25" i="1"/>
  <c r="H29" i="1"/>
  <c r="H33" i="1"/>
  <c r="H37" i="1"/>
  <c r="H41" i="1"/>
  <c r="H45" i="1"/>
  <c r="H53" i="1"/>
  <c r="H61" i="1"/>
  <c r="H69" i="1"/>
  <c r="H77" i="1"/>
  <c r="H85" i="1"/>
  <c r="H93" i="1"/>
  <c r="H101" i="1"/>
  <c r="H5" i="1"/>
  <c r="AQ105" i="1" l="1"/>
  <c r="H96" i="1"/>
  <c r="H88" i="1"/>
  <c r="O88" i="1"/>
  <c r="H80" i="1"/>
  <c r="H72" i="1"/>
  <c r="H60" i="1"/>
  <c r="H52" i="1"/>
  <c r="H40" i="1"/>
  <c r="H28" i="1"/>
  <c r="O28" i="1"/>
  <c r="H99" i="1"/>
  <c r="H91" i="1"/>
  <c r="H83" i="1"/>
  <c r="H79" i="1"/>
  <c r="H75" i="1"/>
  <c r="H71" i="1"/>
  <c r="H67" i="1"/>
  <c r="H59" i="1"/>
  <c r="H55" i="1"/>
  <c r="H51" i="1"/>
  <c r="H47" i="1"/>
  <c r="H43" i="1"/>
  <c r="H39" i="1"/>
  <c r="H35" i="1"/>
  <c r="H31" i="1"/>
  <c r="H27" i="1"/>
  <c r="H23" i="1"/>
  <c r="H15" i="1"/>
  <c r="H7" i="1"/>
  <c r="H64" i="1"/>
  <c r="H48" i="1"/>
  <c r="H36" i="1"/>
  <c r="H24" i="1"/>
  <c r="H16" i="1"/>
  <c r="H8" i="1"/>
  <c r="M13" i="1"/>
  <c r="N13" i="1" s="1"/>
  <c r="H102" i="1"/>
  <c r="H98" i="1"/>
  <c r="H94" i="1"/>
  <c r="H86" i="1"/>
  <c r="H78" i="1"/>
  <c r="H74" i="1"/>
  <c r="H66" i="1"/>
  <c r="H62" i="1"/>
  <c r="H58" i="1"/>
  <c r="H50" i="1"/>
  <c r="H46" i="1"/>
  <c r="H38" i="1"/>
  <c r="H34" i="1"/>
  <c r="H30" i="1"/>
  <c r="H26" i="1"/>
  <c r="H22" i="1"/>
  <c r="H18" i="1"/>
  <c r="H14" i="1"/>
  <c r="H6" i="1"/>
  <c r="H84" i="1"/>
  <c r="H76" i="1"/>
  <c r="O76" i="1"/>
  <c r="H68" i="1"/>
  <c r="H56" i="1"/>
  <c r="H44" i="1"/>
  <c r="H32" i="1"/>
  <c r="H20" i="1"/>
  <c r="H12" i="1"/>
  <c r="J101" i="1"/>
  <c r="M101" i="1" s="1"/>
  <c r="O101" i="1" s="1"/>
  <c r="G97" i="1"/>
  <c r="J93" i="1"/>
  <c r="G89" i="1"/>
  <c r="J85" i="1"/>
  <c r="G81" i="1"/>
  <c r="J77" i="1"/>
  <c r="M77" i="1" s="1"/>
  <c r="N77" i="1" s="1"/>
  <c r="G73" i="1"/>
  <c r="G65" i="1"/>
  <c r="J61" i="1"/>
  <c r="O61" i="1"/>
  <c r="G57" i="1"/>
  <c r="J53" i="1"/>
  <c r="G49" i="1"/>
  <c r="J45" i="1"/>
  <c r="M45" i="1" s="1"/>
  <c r="N45" i="1" s="1"/>
  <c r="G41" i="1"/>
  <c r="J37" i="1"/>
  <c r="G33" i="1"/>
  <c r="J29" i="1"/>
  <c r="M29" i="1" s="1"/>
  <c r="O29" i="1" s="1"/>
  <c r="G25" i="1"/>
  <c r="J21" i="1"/>
  <c r="J17" i="1"/>
  <c r="M17" i="1" s="1"/>
  <c r="O17" i="1" s="1"/>
  <c r="G13" i="1"/>
  <c r="G9" i="1"/>
  <c r="J5" i="1"/>
  <c r="O5" i="1"/>
  <c r="H97" i="1"/>
  <c r="H81" i="1"/>
  <c r="H65" i="1"/>
  <c r="H49" i="1"/>
  <c r="G39" i="1"/>
  <c r="G99" i="1"/>
  <c r="J99" i="1"/>
  <c r="M99" i="1" s="1"/>
  <c r="N99" i="1" s="1"/>
  <c r="J27" i="1"/>
  <c r="M27" i="1" s="1"/>
  <c r="O27" i="1" s="1"/>
  <c r="H89" i="1"/>
  <c r="H73" i="1"/>
  <c r="H57" i="1"/>
  <c r="G59" i="1"/>
  <c r="J59" i="1"/>
  <c r="AS105" i="1"/>
  <c r="AK105" i="1"/>
  <c r="AI105" i="1"/>
  <c r="G15" i="1"/>
  <c r="G31" i="1"/>
  <c r="G47" i="1"/>
  <c r="G75" i="1"/>
  <c r="J75" i="1"/>
  <c r="M75" i="1" s="1"/>
  <c r="O75" i="1" s="1"/>
  <c r="J43" i="1"/>
  <c r="M43" i="1" s="1"/>
  <c r="O43" i="1" s="1"/>
  <c r="G19" i="1"/>
  <c r="G35" i="1"/>
  <c r="G51" i="1"/>
  <c r="G83" i="1"/>
  <c r="J67" i="1"/>
  <c r="M67" i="1" s="1"/>
  <c r="O67" i="1" s="1"/>
  <c r="J35" i="1"/>
  <c r="M35" i="1" s="1"/>
  <c r="N35" i="1" s="1"/>
  <c r="AG105" i="1"/>
  <c r="AE105" i="1"/>
  <c r="AA105" i="1"/>
  <c r="M93" i="1"/>
  <c r="O93" i="1" s="1"/>
  <c r="M5" i="1"/>
  <c r="N5" i="1" s="1"/>
  <c r="H103" i="1"/>
  <c r="J103" i="1"/>
  <c r="M103" i="1" s="1"/>
  <c r="O103" i="1" s="1"/>
  <c r="G103" i="1"/>
  <c r="H95" i="1"/>
  <c r="J95" i="1"/>
  <c r="M95" i="1" s="1"/>
  <c r="O95" i="1" s="1"/>
  <c r="G95" i="1"/>
  <c r="H87" i="1"/>
  <c r="J87" i="1"/>
  <c r="M87" i="1" s="1"/>
  <c r="O87" i="1" s="1"/>
  <c r="G87" i="1"/>
  <c r="N101" i="1"/>
  <c r="G91" i="1"/>
  <c r="J91" i="1"/>
  <c r="M91" i="1" s="1"/>
  <c r="N91" i="1" s="1"/>
  <c r="H11" i="1"/>
  <c r="G21" i="1"/>
  <c r="G29" i="1"/>
  <c r="G37" i="1"/>
  <c r="G45" i="1"/>
  <c r="G53" i="1"/>
  <c r="G61" i="1"/>
  <c r="G69" i="1"/>
  <c r="G77" i="1"/>
  <c r="G85" i="1"/>
  <c r="G93" i="1"/>
  <c r="G101" i="1"/>
  <c r="J97" i="1"/>
  <c r="M97" i="1" s="1"/>
  <c r="O97" i="1" s="1"/>
  <c r="J89" i="1"/>
  <c r="M89" i="1" s="1"/>
  <c r="O89" i="1" s="1"/>
  <c r="J81" i="1"/>
  <c r="M81" i="1" s="1"/>
  <c r="T81" i="1" s="1"/>
  <c r="J73" i="1"/>
  <c r="M73" i="1" s="1"/>
  <c r="O73" i="1" s="1"/>
  <c r="J65" i="1"/>
  <c r="M65" i="1" s="1"/>
  <c r="O65" i="1" s="1"/>
  <c r="J57" i="1"/>
  <c r="M57" i="1" s="1"/>
  <c r="O57" i="1" s="1"/>
  <c r="J49" i="1"/>
  <c r="M49" i="1" s="1"/>
  <c r="T49" i="1" s="1"/>
  <c r="J41" i="1"/>
  <c r="M41" i="1" s="1"/>
  <c r="N41" i="1" s="1"/>
  <c r="J33" i="1"/>
  <c r="M33" i="1" s="1"/>
  <c r="O33" i="1" s="1"/>
  <c r="J25" i="1"/>
  <c r="M25" i="1" s="1"/>
  <c r="N25" i="1" s="1"/>
  <c r="J15" i="1"/>
  <c r="M15" i="1" s="1"/>
  <c r="O15" i="1" s="1"/>
  <c r="J7" i="1"/>
  <c r="M7" i="1" s="1"/>
  <c r="T7" i="1" s="1"/>
  <c r="M9" i="1"/>
  <c r="O9" i="1" s="1"/>
  <c r="M21" i="1"/>
  <c r="O21" i="1" s="1"/>
  <c r="M37" i="1"/>
  <c r="O37" i="1" s="1"/>
  <c r="M53" i="1"/>
  <c r="O53" i="1" s="1"/>
  <c r="M61" i="1"/>
  <c r="M69" i="1"/>
  <c r="M85" i="1"/>
  <c r="O85" i="1" s="1"/>
  <c r="G55" i="1"/>
  <c r="G63" i="1"/>
  <c r="G71" i="1"/>
  <c r="G79" i="1"/>
  <c r="J79" i="1"/>
  <c r="M79" i="1" s="1"/>
  <c r="J71" i="1"/>
  <c r="M71" i="1" s="1"/>
  <c r="N71" i="1" s="1"/>
  <c r="J63" i="1"/>
  <c r="M63" i="1" s="1"/>
  <c r="J55" i="1"/>
  <c r="M55" i="1" s="1"/>
  <c r="J47" i="1"/>
  <c r="M47" i="1" s="1"/>
  <c r="O47" i="1" s="1"/>
  <c r="J39" i="1"/>
  <c r="M39" i="1" s="1"/>
  <c r="O39" i="1" s="1"/>
  <c r="J31" i="1"/>
  <c r="M31" i="1" s="1"/>
  <c r="O31" i="1" s="1"/>
  <c r="J23" i="1"/>
  <c r="M23" i="1" s="1"/>
  <c r="T23" i="1" s="1"/>
  <c r="G17" i="1"/>
  <c r="M19" i="1"/>
  <c r="O19" i="1" s="1"/>
  <c r="M51" i="1"/>
  <c r="O51" i="1" s="1"/>
  <c r="M59" i="1"/>
  <c r="O59" i="1" s="1"/>
  <c r="M83" i="1"/>
  <c r="O83" i="1" s="1"/>
  <c r="AW105" i="1"/>
  <c r="X57" i="1"/>
  <c r="X102" i="1"/>
  <c r="X38" i="1"/>
  <c r="X95" i="1"/>
  <c r="X25" i="1"/>
  <c r="X70" i="1"/>
  <c r="X6" i="1"/>
  <c r="X73" i="1"/>
  <c r="X9" i="1"/>
  <c r="X54" i="1"/>
  <c r="X41" i="1"/>
  <c r="X86" i="1"/>
  <c r="X22" i="1"/>
  <c r="AU105" i="1"/>
  <c r="AO105" i="1"/>
  <c r="L104" i="1"/>
  <c r="K104" i="1"/>
  <c r="AM105" i="1"/>
  <c r="M11" i="1"/>
  <c r="O11" i="1" s="1"/>
  <c r="X81" i="1"/>
  <c r="X65" i="1"/>
  <c r="X49" i="1"/>
  <c r="X33" i="1"/>
  <c r="X17" i="1"/>
  <c r="X97" i="1"/>
  <c r="X94" i="1"/>
  <c r="X78" i="1"/>
  <c r="X62" i="1"/>
  <c r="X46" i="1"/>
  <c r="X30" i="1"/>
  <c r="J102" i="1"/>
  <c r="M102" i="1" s="1"/>
  <c r="N102" i="1" s="1"/>
  <c r="G102" i="1"/>
  <c r="J100" i="1"/>
  <c r="M100" i="1" s="1"/>
  <c r="G100" i="1"/>
  <c r="J98" i="1"/>
  <c r="M98" i="1" s="1"/>
  <c r="O98" i="1" s="1"/>
  <c r="G98" i="1"/>
  <c r="J96" i="1"/>
  <c r="M96" i="1" s="1"/>
  <c r="O96" i="1" s="1"/>
  <c r="G96" i="1"/>
  <c r="J94" i="1"/>
  <c r="M94" i="1" s="1"/>
  <c r="N94" i="1" s="1"/>
  <c r="G94" i="1"/>
  <c r="J92" i="1"/>
  <c r="M92" i="1" s="1"/>
  <c r="O92" i="1" s="1"/>
  <c r="G92" i="1"/>
  <c r="J90" i="1"/>
  <c r="M90" i="1" s="1"/>
  <c r="G90" i="1"/>
  <c r="J88" i="1"/>
  <c r="M88" i="1" s="1"/>
  <c r="G88" i="1"/>
  <c r="J86" i="1"/>
  <c r="M86" i="1" s="1"/>
  <c r="N86" i="1" s="1"/>
  <c r="G86" i="1"/>
  <c r="J84" i="1"/>
  <c r="M84" i="1" s="1"/>
  <c r="O84" i="1" s="1"/>
  <c r="G84" i="1"/>
  <c r="J82" i="1"/>
  <c r="M82" i="1" s="1"/>
  <c r="O82" i="1" s="1"/>
  <c r="G82" i="1"/>
  <c r="J80" i="1"/>
  <c r="M80" i="1" s="1"/>
  <c r="O80" i="1" s="1"/>
  <c r="G80" i="1"/>
  <c r="J78" i="1"/>
  <c r="M78" i="1" s="1"/>
  <c r="O78" i="1" s="1"/>
  <c r="G78" i="1"/>
  <c r="J76" i="1"/>
  <c r="M76" i="1" s="1"/>
  <c r="G76" i="1"/>
  <c r="J74" i="1"/>
  <c r="M74" i="1" s="1"/>
  <c r="O74" i="1" s="1"/>
  <c r="G74" i="1"/>
  <c r="J72" i="1"/>
  <c r="M72" i="1" s="1"/>
  <c r="O72" i="1" s="1"/>
  <c r="G72" i="1"/>
  <c r="J70" i="1"/>
  <c r="M70" i="1" s="1"/>
  <c r="O70" i="1" s="1"/>
  <c r="G70" i="1"/>
  <c r="J68" i="1"/>
  <c r="M68" i="1" s="1"/>
  <c r="O68" i="1" s="1"/>
  <c r="G68" i="1"/>
  <c r="J66" i="1"/>
  <c r="M66" i="1" s="1"/>
  <c r="O66" i="1" s="1"/>
  <c r="G66" i="1"/>
  <c r="J64" i="1"/>
  <c r="M64" i="1" s="1"/>
  <c r="O64" i="1" s="1"/>
  <c r="G64" i="1"/>
  <c r="J62" i="1"/>
  <c r="M62" i="1" s="1"/>
  <c r="O62" i="1" s="1"/>
  <c r="G62" i="1"/>
  <c r="J60" i="1"/>
  <c r="M60" i="1" s="1"/>
  <c r="O60" i="1" s="1"/>
  <c r="G60" i="1"/>
  <c r="J58" i="1"/>
  <c r="M58" i="1" s="1"/>
  <c r="O58" i="1" s="1"/>
  <c r="G58" i="1"/>
  <c r="J56" i="1"/>
  <c r="M56" i="1" s="1"/>
  <c r="O56" i="1" s="1"/>
  <c r="G56" i="1"/>
  <c r="J54" i="1"/>
  <c r="M54" i="1" s="1"/>
  <c r="O54" i="1" s="1"/>
  <c r="G54" i="1"/>
  <c r="J52" i="1"/>
  <c r="M52" i="1" s="1"/>
  <c r="O52" i="1" s="1"/>
  <c r="G52" i="1"/>
  <c r="J50" i="1"/>
  <c r="M50" i="1" s="1"/>
  <c r="O50" i="1" s="1"/>
  <c r="G50" i="1"/>
  <c r="J48" i="1"/>
  <c r="M48" i="1" s="1"/>
  <c r="O48" i="1" s="1"/>
  <c r="G48" i="1"/>
  <c r="J46" i="1"/>
  <c r="M46" i="1" s="1"/>
  <c r="O46" i="1" s="1"/>
  <c r="G46" i="1"/>
  <c r="J44" i="1"/>
  <c r="M44" i="1" s="1"/>
  <c r="O44" i="1" s="1"/>
  <c r="G44" i="1"/>
  <c r="J42" i="1"/>
  <c r="M42" i="1" s="1"/>
  <c r="O42" i="1" s="1"/>
  <c r="G42" i="1"/>
  <c r="J40" i="1"/>
  <c r="M40" i="1" s="1"/>
  <c r="O40" i="1" s="1"/>
  <c r="G40" i="1"/>
  <c r="J38" i="1"/>
  <c r="M38" i="1" s="1"/>
  <c r="O38" i="1" s="1"/>
  <c r="G38" i="1"/>
  <c r="J36" i="1"/>
  <c r="M36" i="1" s="1"/>
  <c r="O36" i="1" s="1"/>
  <c r="G36" i="1"/>
  <c r="J34" i="1"/>
  <c r="M34" i="1" s="1"/>
  <c r="O34" i="1" s="1"/>
  <c r="G34" i="1"/>
  <c r="J32" i="1"/>
  <c r="M32" i="1" s="1"/>
  <c r="O32" i="1" s="1"/>
  <c r="G32" i="1"/>
  <c r="J30" i="1"/>
  <c r="M30" i="1" s="1"/>
  <c r="O30" i="1" s="1"/>
  <c r="G30" i="1"/>
  <c r="J28" i="1"/>
  <c r="M28" i="1" s="1"/>
  <c r="G28" i="1"/>
  <c r="J26" i="1"/>
  <c r="M26" i="1" s="1"/>
  <c r="O26" i="1" s="1"/>
  <c r="G26" i="1"/>
  <c r="J24" i="1"/>
  <c r="M24" i="1" s="1"/>
  <c r="O24" i="1" s="1"/>
  <c r="G24" i="1"/>
  <c r="J22" i="1"/>
  <c r="M22" i="1" s="1"/>
  <c r="O22" i="1" s="1"/>
  <c r="G22" i="1"/>
  <c r="J20" i="1"/>
  <c r="M20" i="1" s="1"/>
  <c r="O20" i="1" s="1"/>
  <c r="G20" i="1"/>
  <c r="J18" i="1"/>
  <c r="M18" i="1" s="1"/>
  <c r="O18" i="1" s="1"/>
  <c r="G18" i="1"/>
  <c r="J16" i="1"/>
  <c r="M16" i="1" s="1"/>
  <c r="O16" i="1" s="1"/>
  <c r="G16" i="1"/>
  <c r="J14" i="1"/>
  <c r="M14" i="1" s="1"/>
  <c r="O14" i="1" s="1"/>
  <c r="G14" i="1"/>
  <c r="J12" i="1"/>
  <c r="M12" i="1" s="1"/>
  <c r="O12" i="1" s="1"/>
  <c r="G12" i="1"/>
  <c r="J10" i="1"/>
  <c r="M10" i="1" s="1"/>
  <c r="O10" i="1" s="1"/>
  <c r="G10" i="1"/>
  <c r="J8" i="1"/>
  <c r="M8" i="1" s="1"/>
  <c r="O8" i="1" s="1"/>
  <c r="G8" i="1"/>
  <c r="J6" i="1"/>
  <c r="M6" i="1" s="1"/>
  <c r="O6" i="1" s="1"/>
  <c r="G6" i="1"/>
  <c r="X8" i="1"/>
  <c r="X12" i="1"/>
  <c r="X16" i="1"/>
  <c r="X20" i="1"/>
  <c r="X24" i="1"/>
  <c r="X28" i="1"/>
  <c r="X32" i="1"/>
  <c r="X36" i="1"/>
  <c r="X40" i="1"/>
  <c r="X44" i="1"/>
  <c r="X48" i="1"/>
  <c r="X52" i="1"/>
  <c r="X56" i="1"/>
  <c r="X60" i="1"/>
  <c r="X64" i="1"/>
  <c r="X68" i="1"/>
  <c r="X72" i="1"/>
  <c r="X76" i="1"/>
  <c r="X80" i="1"/>
  <c r="X84" i="1"/>
  <c r="X88" i="1"/>
  <c r="X92" i="1"/>
  <c r="X96" i="1"/>
  <c r="X100" i="1"/>
  <c r="X85" i="1"/>
  <c r="X93" i="1"/>
  <c r="X101" i="1"/>
  <c r="X7" i="1"/>
  <c r="X11" i="1"/>
  <c r="X15" i="1"/>
  <c r="X19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75" i="1"/>
  <c r="X79" i="1"/>
  <c r="X83" i="1"/>
  <c r="X91" i="1"/>
  <c r="X99" i="1"/>
  <c r="X10" i="1"/>
  <c r="X18" i="1"/>
  <c r="X26" i="1"/>
  <c r="X34" i="1"/>
  <c r="X42" i="1"/>
  <c r="X50" i="1"/>
  <c r="X58" i="1"/>
  <c r="X66" i="1"/>
  <c r="X74" i="1"/>
  <c r="X82" i="1"/>
  <c r="X90" i="1"/>
  <c r="X98" i="1"/>
  <c r="X89" i="1"/>
  <c r="X103" i="1"/>
  <c r="X13" i="1"/>
  <c r="X21" i="1"/>
  <c r="X29" i="1"/>
  <c r="X37" i="1"/>
  <c r="X45" i="1"/>
  <c r="X53" i="1"/>
  <c r="X61" i="1"/>
  <c r="X69" i="1"/>
  <c r="X77" i="1"/>
  <c r="X87" i="1"/>
  <c r="X5" i="1"/>
  <c r="F104" i="1"/>
  <c r="N93" i="1" l="1"/>
  <c r="O81" i="1"/>
  <c r="N79" i="1"/>
  <c r="O13" i="1"/>
  <c r="T13" i="1"/>
  <c r="U13" i="1" s="1"/>
  <c r="O45" i="1"/>
  <c r="O102" i="1"/>
  <c r="O35" i="1"/>
  <c r="O71" i="1"/>
  <c r="O79" i="1"/>
  <c r="O99" i="1"/>
  <c r="N55" i="1"/>
  <c r="O25" i="1"/>
  <c r="O41" i="1"/>
  <c r="O49" i="1"/>
  <c r="O77" i="1"/>
  <c r="O86" i="1"/>
  <c r="O91" i="1"/>
  <c r="O94" i="1"/>
  <c r="O7" i="1"/>
  <c r="O23" i="1"/>
  <c r="O55" i="1"/>
  <c r="N63" i="1"/>
  <c r="O63" i="1"/>
  <c r="N100" i="1"/>
  <c r="O100" i="1"/>
  <c r="N69" i="1"/>
  <c r="O69" i="1"/>
  <c r="N90" i="1"/>
  <c r="O90" i="1"/>
  <c r="N65" i="1"/>
  <c r="T55" i="1"/>
  <c r="T6" i="1"/>
  <c r="T10" i="1"/>
  <c r="U10" i="1" s="1"/>
  <c r="T14" i="1"/>
  <c r="U14" i="1" s="1"/>
  <c r="T18" i="1"/>
  <c r="U18" i="1" s="1"/>
  <c r="T26" i="1"/>
  <c r="T30" i="1"/>
  <c r="U30" i="1" s="1"/>
  <c r="T34" i="1"/>
  <c r="U34" i="1" s="1"/>
  <c r="U93" i="1"/>
  <c r="T91" i="1"/>
  <c r="T38" i="1"/>
  <c r="U38" i="1" s="1"/>
  <c r="T42" i="1"/>
  <c r="T46" i="1"/>
  <c r="U46" i="1" s="1"/>
  <c r="T50" i="1"/>
  <c r="U50" i="1" s="1"/>
  <c r="T54" i="1"/>
  <c r="U54" i="1" s="1"/>
  <c r="T58" i="1"/>
  <c r="U58" i="1" s="1"/>
  <c r="T62" i="1"/>
  <c r="U62" i="1" s="1"/>
  <c r="T66" i="1"/>
  <c r="U66" i="1" s="1"/>
  <c r="T70" i="1"/>
  <c r="U70" i="1" s="1"/>
  <c r="T74" i="1"/>
  <c r="T78" i="1"/>
  <c r="U78" i="1" s="1"/>
  <c r="T82" i="1"/>
  <c r="T86" i="1"/>
  <c r="U86" i="1" s="1"/>
  <c r="T90" i="1"/>
  <c r="T94" i="1"/>
  <c r="T98" i="1"/>
  <c r="T102" i="1"/>
  <c r="U102" i="1" s="1"/>
  <c r="T71" i="1"/>
  <c r="U71" i="1" s="1"/>
  <c r="T95" i="1"/>
  <c r="U95" i="1" s="1"/>
  <c r="T103" i="1"/>
  <c r="T8" i="1"/>
  <c r="U8" i="1" s="1"/>
  <c r="T12" i="1"/>
  <c r="U12" i="1" s="1"/>
  <c r="T16" i="1"/>
  <c r="U16" i="1" s="1"/>
  <c r="T20" i="1"/>
  <c r="U20" i="1" s="1"/>
  <c r="T24" i="1"/>
  <c r="U24" i="1" s="1"/>
  <c r="T28" i="1"/>
  <c r="T32" i="1"/>
  <c r="U32" i="1" s="1"/>
  <c r="T36" i="1"/>
  <c r="T40" i="1"/>
  <c r="U40" i="1" s="1"/>
  <c r="T44" i="1"/>
  <c r="U44" i="1" s="1"/>
  <c r="T48" i="1"/>
  <c r="T52" i="1"/>
  <c r="T56" i="1"/>
  <c r="U56" i="1" s="1"/>
  <c r="T60" i="1"/>
  <c r="U60" i="1" s="1"/>
  <c r="T64" i="1"/>
  <c r="U64" i="1" s="1"/>
  <c r="T68" i="1"/>
  <c r="U68" i="1" s="1"/>
  <c r="T72" i="1"/>
  <c r="U72" i="1" s="1"/>
  <c r="T80" i="1"/>
  <c r="T84" i="1"/>
  <c r="T88" i="1"/>
  <c r="U88" i="1" s="1"/>
  <c r="T92" i="1"/>
  <c r="U92" i="1" s="1"/>
  <c r="T96" i="1"/>
  <c r="U96" i="1" s="1"/>
  <c r="T100" i="1"/>
  <c r="U100" i="1" s="1"/>
  <c r="T61" i="1"/>
  <c r="U61" i="1" s="1"/>
  <c r="T29" i="1"/>
  <c r="U29" i="1" s="1"/>
  <c r="T19" i="1"/>
  <c r="U19" i="1" s="1"/>
  <c r="T47" i="1"/>
  <c r="U47" i="1" s="1"/>
  <c r="T43" i="1"/>
  <c r="U43" i="1" s="1"/>
  <c r="T79" i="1"/>
  <c r="U79" i="1" s="1"/>
  <c r="T85" i="1"/>
  <c r="T53" i="1"/>
  <c r="U53" i="1" s="1"/>
  <c r="T21" i="1"/>
  <c r="U21" i="1" s="1"/>
  <c r="T83" i="1"/>
  <c r="U83" i="1" s="1"/>
  <c r="T31" i="1"/>
  <c r="T99" i="1"/>
  <c r="U99" i="1" s="1"/>
  <c r="T25" i="1"/>
  <c r="U25" i="1" s="1"/>
  <c r="T57" i="1"/>
  <c r="U57" i="1" s="1"/>
  <c r="T89" i="1"/>
  <c r="U89" i="1" s="1"/>
  <c r="T77" i="1"/>
  <c r="U77" i="1" s="1"/>
  <c r="T45" i="1"/>
  <c r="U45" i="1" s="1"/>
  <c r="T51" i="1"/>
  <c r="U51" i="1" s="1"/>
  <c r="T15" i="1"/>
  <c r="U15" i="1" s="1"/>
  <c r="T39" i="1"/>
  <c r="U39" i="1" s="1"/>
  <c r="T33" i="1"/>
  <c r="U33" i="1" s="1"/>
  <c r="T65" i="1"/>
  <c r="U65" i="1" s="1"/>
  <c r="T97" i="1"/>
  <c r="U97" i="1" s="1"/>
  <c r="T27" i="1"/>
  <c r="U27" i="1" s="1"/>
  <c r="T63" i="1"/>
  <c r="U63" i="1" s="1"/>
  <c r="U7" i="1"/>
  <c r="T69" i="1"/>
  <c r="U69" i="1" s="1"/>
  <c r="T37" i="1"/>
  <c r="U37" i="1" s="1"/>
  <c r="T87" i="1"/>
  <c r="U87" i="1" s="1"/>
  <c r="T35" i="1"/>
  <c r="U35" i="1" s="1"/>
  <c r="T75" i="1"/>
  <c r="U75" i="1" s="1"/>
  <c r="T59" i="1"/>
  <c r="U59" i="1" s="1"/>
  <c r="T9" i="1"/>
  <c r="U9" i="1" s="1"/>
  <c r="T41" i="1"/>
  <c r="U41" i="1" s="1"/>
  <c r="T73" i="1"/>
  <c r="U73" i="1" s="1"/>
  <c r="T67" i="1"/>
  <c r="U67" i="1" s="1"/>
  <c r="T11" i="1"/>
  <c r="U11" i="1" s="1"/>
  <c r="T22" i="1"/>
  <c r="U22" i="1" s="1"/>
  <c r="T101" i="1"/>
  <c r="U101" i="1" s="1"/>
  <c r="U31" i="1"/>
  <c r="H104" i="1"/>
  <c r="T5" i="1"/>
  <c r="U5" i="1" s="1"/>
  <c r="U85" i="1"/>
  <c r="U103" i="1"/>
  <c r="N19" i="1"/>
  <c r="N47" i="1"/>
  <c r="N31" i="1"/>
  <c r="N85" i="1"/>
  <c r="N75" i="1"/>
  <c r="N73" i="1"/>
  <c r="U91" i="1"/>
  <c r="N7" i="1"/>
  <c r="N83" i="1"/>
  <c r="N21" i="1"/>
  <c r="N53" i="1"/>
  <c r="N81" i="1"/>
  <c r="U81" i="1"/>
  <c r="N39" i="1"/>
  <c r="N49" i="1"/>
  <c r="U49" i="1"/>
  <c r="N23" i="1"/>
  <c r="U23" i="1"/>
  <c r="N57" i="1"/>
  <c r="N27" i="1"/>
  <c r="N33" i="1"/>
  <c r="N97" i="1"/>
  <c r="N89" i="1"/>
  <c r="J104" i="1"/>
  <c r="N37" i="1"/>
  <c r="N9" i="1"/>
  <c r="N29" i="1"/>
  <c r="N51" i="1"/>
  <c r="U55" i="1"/>
  <c r="N61" i="1"/>
  <c r="N43" i="1"/>
  <c r="N59" i="1"/>
  <c r="N87" i="1"/>
  <c r="N95" i="1"/>
  <c r="N103" i="1"/>
  <c r="U28" i="1"/>
  <c r="G104" i="1"/>
  <c r="U6" i="1"/>
  <c r="U26" i="1"/>
  <c r="N67" i="1"/>
  <c r="U36" i="1"/>
  <c r="U42" i="1"/>
  <c r="U48" i="1"/>
  <c r="U52" i="1"/>
  <c r="U74" i="1"/>
  <c r="U76" i="1"/>
  <c r="U80" i="1"/>
  <c r="U82" i="1"/>
  <c r="U84" i="1"/>
  <c r="U90" i="1"/>
  <c r="U94" i="1"/>
  <c r="U98" i="1"/>
  <c r="N11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8" i="1"/>
  <c r="N96" i="1"/>
  <c r="X104" i="1"/>
  <c r="N15" i="1"/>
  <c r="N6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17" i="1"/>
  <c r="M104" i="1"/>
  <c r="U17" i="1" l="1"/>
  <c r="T104" i="1"/>
  <c r="U104" i="1" l="1"/>
  <c r="V17" i="1" l="1"/>
  <c r="W17" i="1" s="1"/>
  <c r="Y17" i="1" s="1"/>
  <c r="V93" i="1"/>
  <c r="W93" i="1" s="1"/>
  <c r="V70" i="1"/>
  <c r="W70" i="1" s="1"/>
  <c r="Y70" i="1" s="1"/>
  <c r="V64" i="1"/>
  <c r="W64" i="1" s="1"/>
  <c r="Y64" i="1" s="1"/>
  <c r="V12" i="1"/>
  <c r="W12" i="1" s="1"/>
  <c r="Y12" i="1" s="1"/>
  <c r="V60" i="1"/>
  <c r="W60" i="1" s="1"/>
  <c r="Y60" i="1" s="1"/>
  <c r="V10" i="1"/>
  <c r="W10" i="1" s="1"/>
  <c r="Y10" i="1" s="1"/>
  <c r="V102" i="1"/>
  <c r="W102" i="1" s="1"/>
  <c r="Y102" i="1" s="1"/>
  <c r="V44" i="1"/>
  <c r="W44" i="1" s="1"/>
  <c r="Y44" i="1" s="1"/>
  <c r="V52" i="1"/>
  <c r="W52" i="1" s="1"/>
  <c r="Y52" i="1" s="1"/>
  <c r="V82" i="1"/>
  <c r="W82" i="1" s="1"/>
  <c r="Y82" i="1" s="1"/>
  <c r="V94" i="1"/>
  <c r="W94" i="1" s="1"/>
  <c r="Y94" i="1" s="1"/>
  <c r="V80" i="1"/>
  <c r="W80" i="1" s="1"/>
  <c r="Y80" i="1" s="1"/>
  <c r="V57" i="1"/>
  <c r="W57" i="1" s="1"/>
  <c r="Y57" i="1" s="1"/>
  <c r="V42" i="1"/>
  <c r="W42" i="1" s="1"/>
  <c r="Y42" i="1" s="1"/>
  <c r="V72" i="1"/>
  <c r="W72" i="1" s="1"/>
  <c r="Y72" i="1" s="1"/>
  <c r="V30" i="1"/>
  <c r="W30" i="1" s="1"/>
  <c r="Y30" i="1" s="1"/>
  <c r="V55" i="1"/>
  <c r="W55" i="1" s="1"/>
  <c r="Y55" i="1" s="1"/>
  <c r="V68" i="1"/>
  <c r="W68" i="1" s="1"/>
  <c r="Y68" i="1" s="1"/>
  <c r="V25" i="1"/>
  <c r="W25" i="1" s="1"/>
  <c r="Y25" i="1" s="1"/>
  <c r="V40" i="1"/>
  <c r="W40" i="1" s="1"/>
  <c r="Y40" i="1" s="1"/>
  <c r="V54" i="1"/>
  <c r="W54" i="1" s="1"/>
  <c r="Y54" i="1" s="1"/>
  <c r="V97" i="1"/>
  <c r="W97" i="1" s="1"/>
  <c r="Y97" i="1" s="1"/>
  <c r="Y93" i="1"/>
  <c r="V77" i="1"/>
  <c r="W77" i="1" s="1"/>
  <c r="Y77" i="1" s="1"/>
  <c r="V103" i="1"/>
  <c r="W103" i="1" s="1"/>
  <c r="Y103" i="1" s="1"/>
  <c r="V85" i="1"/>
  <c r="W85" i="1" s="1"/>
  <c r="Y85" i="1" s="1"/>
  <c r="V96" i="1"/>
  <c r="W96" i="1" s="1"/>
  <c r="Y96" i="1" s="1"/>
  <c r="V11" i="1"/>
  <c r="W11" i="1" s="1"/>
  <c r="Y11" i="1" s="1"/>
  <c r="V59" i="1"/>
  <c r="W59" i="1" s="1"/>
  <c r="Y59" i="1" s="1"/>
  <c r="V91" i="1"/>
  <c r="W91" i="1" s="1"/>
  <c r="Y91" i="1" s="1"/>
  <c r="V38" i="1"/>
  <c r="W38" i="1" s="1"/>
  <c r="Y38" i="1" s="1"/>
  <c r="V86" i="1"/>
  <c r="W86" i="1" s="1"/>
  <c r="Y86" i="1" s="1"/>
  <c r="V73" i="1"/>
  <c r="W73" i="1" s="1"/>
  <c r="Y73" i="1" s="1"/>
  <c r="V99" i="1"/>
  <c r="W99" i="1" s="1"/>
  <c r="Y99" i="1" s="1"/>
  <c r="V76" i="1"/>
  <c r="W76" i="1" s="1"/>
  <c r="Y76" i="1" s="1"/>
  <c r="V15" i="1"/>
  <c r="W15" i="1" s="1"/>
  <c r="Y15" i="1" s="1"/>
  <c r="V47" i="1"/>
  <c r="W47" i="1" s="1"/>
  <c r="Y47" i="1" s="1"/>
  <c r="V87" i="1"/>
  <c r="W87" i="1" s="1"/>
  <c r="Y87" i="1" s="1"/>
  <c r="V34" i="1"/>
  <c r="W34" i="1" s="1"/>
  <c r="Y34" i="1" s="1"/>
  <c r="V74" i="1"/>
  <c r="W74" i="1" s="1"/>
  <c r="Y74" i="1" s="1"/>
  <c r="V21" i="1"/>
  <c r="W21" i="1" s="1"/>
  <c r="Y21" i="1" s="1"/>
  <c r="V53" i="1"/>
  <c r="W53" i="1" s="1"/>
  <c r="Y53" i="1" s="1"/>
  <c r="V5" i="1"/>
  <c r="V16" i="1"/>
  <c r="W16" i="1" s="1"/>
  <c r="Y16" i="1" s="1"/>
  <c r="V32" i="1"/>
  <c r="W32" i="1" s="1"/>
  <c r="Y32" i="1" s="1"/>
  <c r="V56" i="1"/>
  <c r="W56" i="1" s="1"/>
  <c r="Y56" i="1" s="1"/>
  <c r="V98" i="1"/>
  <c r="W98" i="1" s="1"/>
  <c r="Y98" i="1" s="1"/>
  <c r="V19" i="1"/>
  <c r="W19" i="1" s="1"/>
  <c r="Y19" i="1" s="1"/>
  <c r="V35" i="1"/>
  <c r="W35" i="1" s="1"/>
  <c r="Y35" i="1" s="1"/>
  <c r="V51" i="1"/>
  <c r="W51" i="1" s="1"/>
  <c r="Y51" i="1" s="1"/>
  <c r="V67" i="1"/>
  <c r="W67" i="1" s="1"/>
  <c r="Y67" i="1" s="1"/>
  <c r="V83" i="1"/>
  <c r="W83" i="1" s="1"/>
  <c r="Y83" i="1" s="1"/>
  <c r="V7" i="1"/>
  <c r="W7" i="1" s="1"/>
  <c r="Y7" i="1" s="1"/>
  <c r="V22" i="1"/>
  <c r="W22" i="1" s="1"/>
  <c r="Y22" i="1" s="1"/>
  <c r="V46" i="1"/>
  <c r="W46" i="1" s="1"/>
  <c r="Y46" i="1" s="1"/>
  <c r="V78" i="1"/>
  <c r="W78" i="1" s="1"/>
  <c r="Y78" i="1" s="1"/>
  <c r="V9" i="1"/>
  <c r="W9" i="1" s="1"/>
  <c r="Y9" i="1" s="1"/>
  <c r="V41" i="1"/>
  <c r="W41" i="1" s="1"/>
  <c r="Y41" i="1" s="1"/>
  <c r="V65" i="1"/>
  <c r="W65" i="1" s="1"/>
  <c r="Y65" i="1" s="1"/>
  <c r="V81" i="1"/>
  <c r="W81" i="1" s="1"/>
  <c r="Y81" i="1" s="1"/>
  <c r="V101" i="1"/>
  <c r="W101" i="1" s="1"/>
  <c r="Y101" i="1" s="1"/>
  <c r="V20" i="1"/>
  <c r="W20" i="1" s="1"/>
  <c r="Y20" i="1" s="1"/>
  <c r="V36" i="1"/>
  <c r="W36" i="1" s="1"/>
  <c r="Y36" i="1" s="1"/>
  <c r="V84" i="1"/>
  <c r="W84" i="1" s="1"/>
  <c r="Y84" i="1" s="1"/>
  <c r="V6" i="1"/>
  <c r="W6" i="1" s="1"/>
  <c r="Y6" i="1" s="1"/>
  <c r="V23" i="1"/>
  <c r="W23" i="1" s="1"/>
  <c r="Y23" i="1" s="1"/>
  <c r="V39" i="1"/>
  <c r="W39" i="1" s="1"/>
  <c r="Y39" i="1" s="1"/>
  <c r="V63" i="1"/>
  <c r="W63" i="1" s="1"/>
  <c r="Y63" i="1" s="1"/>
  <c r="V79" i="1"/>
  <c r="W79" i="1" s="1"/>
  <c r="Y79" i="1" s="1"/>
  <c r="V95" i="1"/>
  <c r="W95" i="1" s="1"/>
  <c r="Y95" i="1" s="1"/>
  <c r="V26" i="1"/>
  <c r="W26" i="1" s="1"/>
  <c r="Y26" i="1" s="1"/>
  <c r="V50" i="1"/>
  <c r="W50" i="1" s="1"/>
  <c r="Y50" i="1" s="1"/>
  <c r="V66" i="1"/>
  <c r="W66" i="1" s="1"/>
  <c r="Y66" i="1" s="1"/>
  <c r="V90" i="1"/>
  <c r="W90" i="1" s="1"/>
  <c r="Y90" i="1" s="1"/>
  <c r="V13" i="1"/>
  <c r="W13" i="1" s="1"/>
  <c r="Y13" i="1" s="1"/>
  <c r="V29" i="1"/>
  <c r="W29" i="1" s="1"/>
  <c r="Y29" i="1" s="1"/>
  <c r="V45" i="1"/>
  <c r="W45" i="1" s="1"/>
  <c r="Y45" i="1" s="1"/>
  <c r="V61" i="1"/>
  <c r="W61" i="1" s="1"/>
  <c r="Y61" i="1" s="1"/>
  <c r="V8" i="1"/>
  <c r="W8" i="1" s="1"/>
  <c r="Y8" i="1" s="1"/>
  <c r="V24" i="1"/>
  <c r="W24" i="1" s="1"/>
  <c r="Y24" i="1" s="1"/>
  <c r="V48" i="1"/>
  <c r="W48" i="1" s="1"/>
  <c r="Y48" i="1" s="1"/>
  <c r="V88" i="1"/>
  <c r="W88" i="1" s="1"/>
  <c r="Y88" i="1" s="1"/>
  <c r="V27" i="1"/>
  <c r="W27" i="1" s="1"/>
  <c r="Y27" i="1" s="1"/>
  <c r="V43" i="1"/>
  <c r="W43" i="1" s="1"/>
  <c r="Y43" i="1" s="1"/>
  <c r="V75" i="1"/>
  <c r="W75" i="1" s="1"/>
  <c r="Y75" i="1" s="1"/>
  <c r="V14" i="1"/>
  <c r="W14" i="1" s="1"/>
  <c r="Y14" i="1" s="1"/>
  <c r="V62" i="1"/>
  <c r="W62" i="1" s="1"/>
  <c r="Y62" i="1" s="1"/>
  <c r="V33" i="1"/>
  <c r="W33" i="1" s="1"/>
  <c r="Y33" i="1" s="1"/>
  <c r="V49" i="1"/>
  <c r="W49" i="1" s="1"/>
  <c r="Y49" i="1" s="1"/>
  <c r="V89" i="1"/>
  <c r="W89" i="1" s="1"/>
  <c r="Y89" i="1" s="1"/>
  <c r="V28" i="1"/>
  <c r="W28" i="1" s="1"/>
  <c r="Y28" i="1" s="1"/>
  <c r="V92" i="1"/>
  <c r="W92" i="1" s="1"/>
  <c r="Y92" i="1" s="1"/>
  <c r="V31" i="1"/>
  <c r="W31" i="1" s="1"/>
  <c r="Y31" i="1" s="1"/>
  <c r="V71" i="1"/>
  <c r="W71" i="1" s="1"/>
  <c r="Y71" i="1" s="1"/>
  <c r="V18" i="1"/>
  <c r="W18" i="1" s="1"/>
  <c r="Y18" i="1" s="1"/>
  <c r="V58" i="1"/>
  <c r="W58" i="1" s="1"/>
  <c r="Y58" i="1" s="1"/>
  <c r="V100" i="1"/>
  <c r="W100" i="1" s="1"/>
  <c r="Y100" i="1" s="1"/>
  <c r="V37" i="1"/>
  <c r="W37" i="1" s="1"/>
  <c r="Y37" i="1" s="1"/>
  <c r="V69" i="1"/>
  <c r="W69" i="1" s="1"/>
  <c r="Y69" i="1" s="1"/>
  <c r="V104" i="1" l="1"/>
  <c r="W5" i="1"/>
  <c r="W104" i="1" l="1"/>
  <c r="Y104" i="1" s="1"/>
  <c r="Y5" i="1"/>
</calcChain>
</file>

<file path=xl/sharedStrings.xml><?xml version="1.0" encoding="utf-8"?>
<sst xmlns="http://schemas.openxmlformats.org/spreadsheetml/2006/main" count="182" uniqueCount="155">
  <si>
    <t>County</t>
  </si>
  <si>
    <t>Co #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</si>
  <si>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</si>
  <si>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</si>
  <si>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</si>
  <si>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</si>
  <si>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</si>
  <si>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</si>
  <si>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</si>
  <si>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</si>
  <si>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</si>
  <si>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</si>
  <si>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</si>
  <si>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</si>
  <si>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</si>
  <si>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</si>
  <si>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</si>
  <si>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</si>
  <si>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</si>
  <si>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</si>
  <si>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</si>
  <si>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</si>
  <si>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</si>
  <si>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</si>
  <si>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</si>
  <si>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</si>
  <si>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</si>
  <si>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</si>
  <si>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</si>
  <si>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</si>
  <si>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</si>
  <si>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</si>
  <si>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</si>
  <si>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</si>
  <si>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</si>
  <si>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</si>
  <si>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</si>
  <si>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</si>
  <si>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</si>
  <si>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</si>
  <si>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</si>
  <si>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</si>
  <si>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</si>
  <si>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</si>
  <si>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</si>
  <si>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</si>
  <si>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</si>
  <si>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</si>
  <si>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</si>
  <si>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</si>
  <si>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</si>
  <si>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</si>
  <si>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</si>
  <si>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</si>
  <si>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</si>
  <si>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</si>
  <si>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</si>
  <si>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</si>
  <si>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</si>
  <si>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</si>
  <si>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</si>
  <si>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</si>
  <si>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</si>
  <si>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</si>
  <si>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</si>
  <si>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</si>
  <si>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</si>
  <si>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</si>
  <si>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</si>
  <si>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</si>
  <si>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</si>
  <si>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</si>
  <si>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</si>
  <si>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</si>
  <si>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</si>
  <si>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</si>
  <si>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</si>
  <si>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</si>
  <si>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</si>
  <si>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</si>
  <si>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</si>
  <si>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</si>
  <si>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</si>
  <si>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</si>
  <si>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</si>
  <si>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</si>
  <si>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</si>
  <si>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</si>
  <si>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</si>
  <si>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</si>
  <si>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</si>
  <si>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</si>
  <si>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</si>
  <si>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</si>
  <si>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</si>
  <si>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</si>
  <si>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</si>
  <si>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</si>
  <si>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</si>
  <si>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</si>
  <si>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</si>
  <si>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3 Year Total</t>
  </si>
  <si>
    <t>3 Year Average</t>
  </si>
  <si>
    <t>Reallocation Factor</t>
  </si>
  <si>
    <t>Reallocation</t>
  </si>
  <si>
    <t>Years Fund Accum</t>
  </si>
  <si>
    <t>Counties' Estimated Federal Bridge Fund Allocation:</t>
  </si>
  <si>
    <t>Rounded Counties' Estimated Federal Bridge Fund Allocation:</t>
  </si>
  <si>
    <t>Iowa's Final Federal Bridge Fund Allocation:</t>
  </si>
  <si>
    <t>Counties' Final Federal Bridge Fund Allocation:</t>
  </si>
  <si>
    <t>Estimated Obligation Limitation:</t>
  </si>
  <si>
    <t>Final Obligation Limitation</t>
  </si>
  <si>
    <t>Actual Low Bids</t>
  </si>
  <si>
    <t>Contract Amt</t>
  </si>
  <si>
    <t>Total Contract</t>
  </si>
  <si>
    <t>Anticipated Lettings</t>
  </si>
  <si>
    <t>HBP Allocation</t>
  </si>
  <si>
    <t>HBP Funding</t>
  </si>
  <si>
    <t>Est. Allocation to counties not losing money</t>
  </si>
  <si>
    <t>Updated:</t>
  </si>
  <si>
    <t>Estimate Amt</t>
  </si>
  <si>
    <t>Counties' percentage (compared to cities):</t>
  </si>
  <si>
    <t>Iowa's Estimated STP Bridge Fund Allocation:</t>
  </si>
  <si>
    <t>Highway Bridge Program (HBP) - FFY 2014</t>
  </si>
  <si>
    <t>FFY2014
Actual</t>
  </si>
  <si>
    <t>November 17, 2015</t>
  </si>
  <si>
    <t>December 15, 2015</t>
  </si>
  <si>
    <t>Highway Bridge Program (HBP) Funding - FFY 2016</t>
  </si>
  <si>
    <t>FFY2015
Actual</t>
  </si>
  <si>
    <t>FFY2016
Estimated</t>
  </si>
  <si>
    <t>Actual
FFY2015
Ending Balance</t>
  </si>
  <si>
    <t>Estimated FFY2016 Beginning Balance</t>
  </si>
  <si>
    <t>Estimated FFY2016
Ending
Balance</t>
  </si>
  <si>
    <t>Amount to be reallocated at end of FFY 2016 (if not spent by then)</t>
  </si>
  <si>
    <t>Actual FFY2016
Allocation</t>
  </si>
  <si>
    <t>Actual
FFY2016
Ending
Balance</t>
  </si>
  <si>
    <t>FFY 2016 Allocation Factor</t>
  </si>
  <si>
    <t>Spend by end of June 2016</t>
  </si>
  <si>
    <t>November 15, 2016</t>
  </si>
  <si>
    <t>December 20, 2016</t>
  </si>
  <si>
    <t>January 20, 2016</t>
  </si>
  <si>
    <t>February 16, 2016</t>
  </si>
  <si>
    <t>March 15, 2016</t>
  </si>
  <si>
    <t>April 19, 2016</t>
  </si>
  <si>
    <t>May 17, 2016</t>
  </si>
  <si>
    <t>June 21, 2016</t>
  </si>
  <si>
    <t xml:space="preserve"> July 19, 2016</t>
  </si>
  <si>
    <t xml:space="preserve"> August 16, 2016</t>
  </si>
  <si>
    <t>September 20, 2016</t>
  </si>
  <si>
    <t>October 18, 2016</t>
  </si>
  <si>
    <t>Let Amounts November 2015 - October 2016</t>
  </si>
  <si>
    <t>One joint project</t>
  </si>
  <si>
    <t>6 Year Borrow Ahead Available  to Let</t>
  </si>
  <si>
    <t>spend by December 2017</t>
  </si>
  <si>
    <t>Bridge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</si>
</sst>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#,##0.000000000_);[Red]\(#,##0.000000000\)"/>
    <numFmt numFmtId="166" formatCode="&quot;$&quot;#,##0.00"/>
    <numFmt numFmtId="167" formatCode="0.00000000"/>
  </numFmts>
  <fonts count="1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pple Chancery"/>
      <family val="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pple Chancery"/>
      <family val="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2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5" fontId="9" fillId="0" borderId="0" xfId="0" applyNumberFormat="1" applyFont="1"/>
    <xf numFmtId="37" fontId="9" fillId="0" borderId="3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right" vertical="center"/>
    </xf>
    <xf numFmtId="8" fontId="9" fillId="0" borderId="4" xfId="0" applyNumberFormat="1" applyFont="1" applyBorder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40" fontId="9" fillId="0" borderId="4" xfId="0" applyNumberFormat="1" applyFont="1" applyBorder="1" applyAlignment="1">
      <alignment horizontal="right" vertical="center"/>
    </xf>
    <xf numFmtId="5" fontId="9" fillId="0" borderId="1" xfId="0" applyNumberFormat="1" applyFont="1" applyBorder="1"/>
    <xf numFmtId="37" fontId="9" fillId="0" borderId="6" xfId="0" applyNumberFormat="1" applyFont="1" applyBorder="1" applyAlignment="1">
      <alignment horizont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7" xfId="0" applyNumberFormat="1" applyFont="1" applyBorder="1" applyAlignment="1">
      <alignment horizontal="right" vertical="center"/>
    </xf>
    <xf numFmtId="40" fontId="9" fillId="0" borderId="1" xfId="0" applyNumberFormat="1" applyFont="1" applyBorder="1" applyAlignment="1">
      <alignment horizontal="right" vertical="center"/>
    </xf>
    <xf numFmtId="5" fontId="9" fillId="0" borderId="0" xfId="0" applyNumberFormat="1" applyFont="1" applyBorder="1"/>
    <xf numFmtId="5" fontId="2" fillId="0" borderId="0" xfId="0" applyNumberFormat="1" applyFont="1" applyBorder="1"/>
    <xf numFmtId="5" fontId="2" fillId="0" borderId="1" xfId="0" applyNumberFormat="1" applyFont="1" applyBorder="1"/>
    <xf numFmtId="0" fontId="9" fillId="0" borderId="3" xfId="0" applyFont="1" applyBorder="1" applyAlignment="1">
      <alignment horizontal="center"/>
    </xf>
    <xf numFmtId="8" fontId="8" fillId="0" borderId="8" xfId="0" applyNumberFormat="1" applyFont="1" applyBorder="1" applyAlignment="1">
      <alignment horizontal="right" vertical="center"/>
    </xf>
    <xf numFmtId="8" fontId="8" fillId="0" borderId="9" xfId="0" applyNumberFormat="1" applyFont="1" applyBorder="1" applyAlignment="1">
      <alignment horizontal="right" vertical="center"/>
    </xf>
    <xf numFmtId="8" fontId="8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8" fontId="9" fillId="0" borderId="13" xfId="0" applyNumberFormat="1" applyFont="1" applyBorder="1" applyAlignment="1">
      <alignment horizontal="right" vertical="center"/>
    </xf>
    <xf numFmtId="40" fontId="9" fillId="0" borderId="13" xfId="0" applyNumberFormat="1" applyFont="1" applyBorder="1" applyAlignment="1">
      <alignment horizontal="right" vertical="center"/>
    </xf>
    <xf numFmtId="40" fontId="9" fillId="0" borderId="12" xfId="0" applyNumberFormat="1" applyFont="1" applyBorder="1" applyAlignment="1">
      <alignment horizontal="right" vertical="center"/>
    </xf>
    <xf numFmtId="8" fontId="8" fillId="0" borderId="14" xfId="0" applyNumberFormat="1" applyFont="1" applyBorder="1" applyAlignment="1">
      <alignment horizontal="right" vertical="center"/>
    </xf>
    <xf numFmtId="40" fontId="9" fillId="0" borderId="15" xfId="0" applyNumberFormat="1" applyFont="1" applyBorder="1" applyAlignment="1">
      <alignment horizontal="right" vertical="center"/>
    </xf>
    <xf numFmtId="40" fontId="9" fillId="0" borderId="11" xfId="0" applyNumberFormat="1" applyFont="1" applyBorder="1" applyAlignment="1">
      <alignment horizontal="right" vertical="center"/>
    </xf>
    <xf numFmtId="40" fontId="9" fillId="0" borderId="15" xfId="0" applyNumberFormat="1" applyFont="1" applyFill="1" applyBorder="1" applyAlignment="1">
      <alignment horizontal="right" vertical="center"/>
    </xf>
    <xf numFmtId="8" fontId="8" fillId="0" borderId="16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wrapText="1"/>
    </xf>
    <xf numFmtId="40" fontId="9" fillId="0" borderId="13" xfId="0" applyNumberFormat="1" applyFont="1" applyFill="1" applyBorder="1" applyAlignment="1">
      <alignment horizontal="right" vertical="center"/>
    </xf>
    <xf numFmtId="8" fontId="8" fillId="0" borderId="17" xfId="0" applyNumberFormat="1" applyFont="1" applyBorder="1" applyAlignment="1">
      <alignment horizontal="right" vertical="center"/>
    </xf>
    <xf numFmtId="40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8" fontId="8" fillId="0" borderId="20" xfId="0" applyNumberFormat="1" applyFont="1" applyBorder="1" applyAlignment="1">
      <alignment horizontal="right" vertical="center"/>
    </xf>
    <xf numFmtId="166" fontId="9" fillId="0" borderId="23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40" fontId="9" fillId="0" borderId="24" xfId="0" applyNumberFormat="1" applyFont="1" applyBorder="1" applyAlignment="1">
      <alignment horizontal="right" vertical="center"/>
    </xf>
    <xf numFmtId="8" fontId="9" fillId="0" borderId="23" xfId="0" applyNumberFormat="1" applyFont="1" applyBorder="1" applyAlignment="1">
      <alignment horizontal="right" vertical="center"/>
    </xf>
    <xf numFmtId="8" fontId="9" fillId="0" borderId="25" xfId="0" applyNumberFormat="1" applyFont="1" applyBorder="1" applyAlignment="1">
      <alignment horizontal="right" vertical="center"/>
    </xf>
    <xf numFmtId="6" fontId="9" fillId="0" borderId="23" xfId="0" applyNumberFormat="1" applyFont="1" applyBorder="1" applyAlignment="1" applyProtection="1">
      <alignment horizontal="right" vertical="center"/>
    </xf>
    <xf numFmtId="165" fontId="9" fillId="0" borderId="23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 applyProtection="1">
      <alignment horizontal="right" vertical="center"/>
    </xf>
    <xf numFmtId="38" fontId="9" fillId="0" borderId="24" xfId="0" applyNumberFormat="1" applyFont="1" applyBorder="1" applyAlignment="1" applyProtection="1">
      <alignment horizontal="right" vertical="center"/>
    </xf>
    <xf numFmtId="165" fontId="9" fillId="0" borderId="24" xfId="0" applyNumberFormat="1" applyFont="1" applyBorder="1" applyAlignment="1">
      <alignment horizontal="right" vertical="center"/>
    </xf>
    <xf numFmtId="8" fontId="8" fillId="0" borderId="26" xfId="0" applyNumberFormat="1" applyFont="1" applyBorder="1" applyAlignment="1">
      <alignment horizontal="right" vertical="center"/>
    </xf>
    <xf numFmtId="6" fontId="8" fillId="0" borderId="21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6" fontId="8" fillId="0" borderId="14" xfId="0" applyNumberFormat="1" applyFont="1" applyBorder="1" applyAlignment="1">
      <alignment horizontal="right" vertical="center"/>
    </xf>
    <xf numFmtId="8" fontId="8" fillId="0" borderId="14" xfId="0" applyNumberFormat="1" applyFont="1" applyBorder="1"/>
    <xf numFmtId="40" fontId="9" fillId="0" borderId="13" xfId="0" applyNumberFormat="1" applyFont="1" applyBorder="1"/>
    <xf numFmtId="40" fontId="9" fillId="0" borderId="12" xfId="0" applyNumberFormat="1" applyFont="1" applyBorder="1"/>
    <xf numFmtId="8" fontId="9" fillId="0" borderId="13" xfId="0" applyNumberFormat="1" applyFont="1" applyBorder="1"/>
    <xf numFmtId="2" fontId="9" fillId="0" borderId="0" xfId="0" applyNumberFormat="1" applyFont="1"/>
    <xf numFmtId="49" fontId="9" fillId="0" borderId="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0" fontId="9" fillId="0" borderId="0" xfId="0" applyNumberFormat="1" applyFont="1" applyFill="1" applyBorder="1" applyAlignment="1">
      <alignment horizontal="right" vertical="center"/>
    </xf>
    <xf numFmtId="166" fontId="9" fillId="0" borderId="13" xfId="0" applyNumberFormat="1" applyFont="1" applyBorder="1" applyAlignment="1">
      <alignment horizontal="right" vertical="center"/>
    </xf>
    <xf numFmtId="166" fontId="9" fillId="0" borderId="12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8" fontId="9" fillId="0" borderId="0" xfId="0" applyNumberFormat="1" applyFont="1" applyBorder="1" applyAlignment="1">
      <alignment horizontal="right" vertical="center"/>
    </xf>
    <xf numFmtId="8" fontId="9" fillId="0" borderId="1" xfId="0" applyNumberFormat="1" applyFont="1" applyBorder="1" applyAlignment="1">
      <alignment horizontal="right" vertical="center"/>
    </xf>
    <xf numFmtId="8" fontId="9" fillId="0" borderId="12" xfId="0" applyNumberFormat="1" applyFont="1" applyBorder="1" applyAlignment="1">
      <alignment horizontal="right" vertical="center"/>
    </xf>
    <xf numFmtId="166" fontId="2" fillId="0" borderId="13" xfId="0" applyNumberFormat="1" applyFont="1" applyBorder="1"/>
    <xf numFmtId="166" fontId="9" fillId="0" borderId="1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right" vertical="center"/>
    </xf>
    <xf numFmtId="8" fontId="9" fillId="0" borderId="22" xfId="0" applyNumberFormat="1" applyFont="1" applyBorder="1" applyAlignment="1">
      <alignment horizontal="right" vertical="center"/>
    </xf>
    <xf numFmtId="166" fontId="9" fillId="0" borderId="15" xfId="0" applyNumberFormat="1" applyFont="1" applyBorder="1" applyAlignment="1">
      <alignment horizontal="right" vertical="center"/>
    </xf>
    <xf numFmtId="166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 applyAlignment="1">
      <alignment horizontal="right" vertical="center"/>
    </xf>
    <xf numFmtId="8" fontId="8" fillId="0" borderId="31" xfId="0" applyNumberFormat="1" applyFont="1" applyBorder="1" applyAlignment="1">
      <alignment horizontal="right" vertical="center"/>
    </xf>
    <xf numFmtId="5" fontId="1" fillId="0" borderId="32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/>
    </xf>
    <xf numFmtId="166" fontId="9" fillId="0" borderId="13" xfId="0" applyNumberFormat="1" applyFont="1" applyBorder="1"/>
    <xf numFmtId="166" fontId="2" fillId="0" borderId="23" xfId="0" applyNumberFormat="1" applyFont="1" applyBorder="1"/>
    <xf numFmtId="166" fontId="9" fillId="0" borderId="5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/>
    <xf numFmtId="0" fontId="6" fillId="0" borderId="0" xfId="0" applyFont="1" applyFill="1"/>
    <xf numFmtId="166" fontId="9" fillId="0" borderId="15" xfId="0" applyNumberFormat="1" applyFont="1" applyFill="1" applyBorder="1" applyAlignment="1">
      <alignment horizontal="right" vertical="center"/>
    </xf>
    <xf numFmtId="8" fontId="9" fillId="0" borderId="15" xfId="0" applyNumberFormat="1" applyFont="1" applyBorder="1" applyAlignment="1">
      <alignment horizontal="right" vertical="center"/>
    </xf>
    <xf numFmtId="166" fontId="9" fillId="0" borderId="0" xfId="0" applyNumberFormat="1" applyFont="1"/>
    <xf numFmtId="166" fontId="9" fillId="0" borderId="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166" fontId="8" fillId="0" borderId="8" xfId="0" applyNumberFormat="1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166" fontId="6" fillId="0" borderId="0" xfId="0" applyNumberFormat="1" applyFont="1"/>
    <xf numFmtId="166" fontId="2" fillId="0" borderId="18" xfId="0" applyNumberFormat="1" applyFont="1" applyBorder="1"/>
    <xf numFmtId="4" fontId="9" fillId="0" borderId="0" xfId="0" applyNumberFormat="1" applyFont="1"/>
    <xf numFmtId="166" fontId="9" fillId="0" borderId="2" xfId="0" applyNumberFormat="1" applyFont="1" applyBorder="1" applyAlignment="1">
      <alignment horizontal="right" vertical="center"/>
    </xf>
    <xf numFmtId="166" fontId="9" fillId="0" borderId="12" xfId="0" applyNumberFormat="1" applyFont="1" applyBorder="1"/>
    <xf numFmtId="166" fontId="9" fillId="0" borderId="1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left"/>
    </xf>
    <xf numFmtId="40" fontId="10" fillId="0" borderId="0" xfId="0" applyNumberFormat="1" applyFont="1" applyAlignment="1">
      <alignment horizontal="left" vertical="center"/>
    </xf>
    <xf numFmtId="38" fontId="10" fillId="0" borderId="0" xfId="0" applyNumberFormat="1" applyFont="1" applyAlignment="1">
      <alignment horizontal="left"/>
    </xf>
    <xf numFmtId="40" fontId="10" fillId="0" borderId="0" xfId="0" applyNumberFormat="1" applyFont="1" applyAlignment="1">
      <alignment horizontal="left"/>
    </xf>
    <xf numFmtId="8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40" fontId="8" fillId="0" borderId="15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Fill="1" applyAlignment="1">
      <alignment vertical="top"/>
    </xf>
    <xf numFmtId="166" fontId="9" fillId="0" borderId="11" xfId="0" applyNumberFormat="1" applyFont="1" applyBorder="1" applyAlignment="1">
      <alignment horizontal="center" vertical="center"/>
    </xf>
    <xf numFmtId="0" fontId="9" fillId="0" borderId="0" xfId="0" applyFont="1" applyFill="1"/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167" fontId="9" fillId="0" borderId="41" xfId="0" applyNumberFormat="1" applyFont="1" applyBorder="1" applyAlignment="1">
      <alignment horizontal="right" vertical="center"/>
    </xf>
    <xf numFmtId="44" fontId="9" fillId="0" borderId="12" xfId="0" applyNumberFormat="1" applyFont="1" applyBorder="1" applyAlignment="1">
      <alignment horizontal="right" vertical="center"/>
    </xf>
    <xf numFmtId="44" fontId="9" fillId="0" borderId="13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4" fontId="8" fillId="0" borderId="0" xfId="0" applyNumberFormat="1" applyFont="1" applyFill="1" applyAlignment="1">
      <alignment horizontal="left"/>
    </xf>
    <xf numFmtId="166" fontId="8" fillId="0" borderId="23" xfId="0" applyNumberFormat="1" applyFont="1" applyFill="1" applyBorder="1" applyAlignment="1" applyProtection="1">
      <alignment horizontal="right" vertical="center"/>
    </xf>
    <xf numFmtId="166" fontId="8" fillId="0" borderId="24" xfId="0" applyNumberFormat="1" applyFont="1" applyFill="1" applyBorder="1" applyAlignment="1" applyProtection="1">
      <alignment horizontal="right" vertical="center"/>
    </xf>
    <xf numFmtId="8" fontId="3" fillId="0" borderId="20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6" fontId="9" fillId="0" borderId="23" xfId="0" applyNumberFormat="1" applyFont="1" applyFill="1" applyBorder="1" applyAlignment="1" applyProtection="1">
      <alignment horizontal="right" vertical="center"/>
    </xf>
    <xf numFmtId="166" fontId="9" fillId="0" borderId="24" xfId="0" applyNumberFormat="1" applyFont="1" applyFill="1" applyBorder="1" applyAlignment="1" applyProtection="1">
      <alignment horizontal="right" vertical="center"/>
    </xf>
    <xf numFmtId="8" fontId="8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8" fontId="8" fillId="0" borderId="17" xfId="0" applyNumberFormat="1" applyFont="1" applyFill="1" applyBorder="1" applyAlignment="1">
      <alignment horizontal="right" vertical="center"/>
    </xf>
    <xf numFmtId="8" fontId="9" fillId="0" borderId="25" xfId="0" applyNumberFormat="1" applyFont="1" applyFill="1" applyBorder="1" applyAlignment="1">
      <alignment horizontal="right" vertical="center"/>
    </xf>
    <xf numFmtId="8" fontId="8" fillId="0" borderId="23" xfId="0" applyNumberFormat="1" applyFont="1" applyFill="1" applyBorder="1" applyAlignment="1">
      <alignment horizontal="right" vertical="center"/>
    </xf>
    <xf numFmtId="8" fontId="9" fillId="0" borderId="29" xfId="0" applyNumberFormat="1" applyFont="1" applyFill="1" applyBorder="1" applyAlignment="1">
      <alignment horizontal="right" vertical="center"/>
    </xf>
    <xf numFmtId="8" fontId="8" fillId="0" borderId="24" xfId="0" applyNumberFormat="1" applyFont="1" applyFill="1" applyBorder="1" applyAlignment="1">
      <alignment horizontal="right" vertical="center"/>
    </xf>
    <xf numFmtId="8" fontId="9" fillId="0" borderId="22" xfId="0" applyNumberFormat="1" applyFont="1" applyFill="1" applyBorder="1" applyAlignment="1">
      <alignment horizontal="right" vertical="center"/>
    </xf>
    <xf numFmtId="8" fontId="8" fillId="0" borderId="27" xfId="0" applyNumberFormat="1" applyFont="1" applyFill="1" applyBorder="1" applyAlignment="1">
      <alignment horizontal="right" vertical="center"/>
    </xf>
    <xf numFmtId="8" fontId="8" fillId="0" borderId="21" xfId="0" applyNumberFormat="1" applyFont="1" applyFill="1" applyBorder="1" applyAlignment="1">
      <alignment horizontal="right" vertical="center"/>
    </xf>
    <xf numFmtId="8" fontId="6" fillId="0" borderId="0" xfId="0" applyNumberFormat="1" applyFont="1" applyFill="1" applyAlignment="1">
      <alignment horizontal="left"/>
    </xf>
    <xf numFmtId="8" fontId="7" fillId="0" borderId="0" xfId="0" applyNumberFormat="1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8" fontId="8" fillId="0" borderId="30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/>
    <xf numFmtId="166" fontId="9" fillId="0" borderId="23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40" fontId="9" fillId="0" borderId="24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Alignment="1"/>
    <xf numFmtId="166" fontId="9" fillId="0" borderId="42" xfId="0" applyNumberFormat="1" applyFont="1" applyFill="1" applyBorder="1" applyAlignment="1"/>
    <xf numFmtId="166" fontId="9" fillId="0" borderId="23" xfId="0" applyNumberFormat="1" applyFont="1" applyFill="1" applyBorder="1" applyAlignment="1"/>
    <xf numFmtId="166" fontId="9" fillId="0" borderId="24" xfId="0" applyNumberFormat="1" applyFont="1" applyFill="1" applyBorder="1" applyAlignment="1"/>
    <xf numFmtId="166" fontId="3" fillId="0" borderId="20" xfId="0" applyNumberFormat="1" applyFont="1" applyFill="1" applyBorder="1"/>
    <xf numFmtId="166" fontId="3" fillId="0" borderId="9" xfId="0" applyNumberFormat="1" applyFont="1" applyFill="1" applyBorder="1" applyAlignment="1"/>
    <xf numFmtId="166" fontId="6" fillId="0" borderId="23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/>
    <xf numFmtId="40" fontId="8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/>
    <xf numFmtId="166" fontId="9" fillId="0" borderId="15" xfId="0" applyNumberFormat="1" applyFont="1" applyBorder="1" applyAlignment="1">
      <alignment horizontal="right" vertical="center" wrapText="1"/>
    </xf>
    <xf numFmtId="166" fontId="9" fillId="3" borderId="1" xfId="0" applyNumberFormat="1" applyFont="1" applyFill="1" applyBorder="1" applyAlignment="1">
      <alignment horizontal="right" vertical="center"/>
    </xf>
    <xf numFmtId="166" fontId="9" fillId="3" borderId="12" xfId="0" applyNumberFormat="1" applyFont="1" applyFill="1" applyBorder="1" applyAlignment="1">
      <alignment horizontal="right" vertical="center"/>
    </xf>
    <xf numFmtId="0" fontId="6" fillId="3" borderId="0" xfId="0" applyFont="1" applyFill="1"/>
    <xf numFmtId="166" fontId="9" fillId="0" borderId="0" xfId="1" applyNumberFormat="1" applyFont="1" applyBorder="1" applyAlignment="1">
      <alignment horizontal="right" vertical="center"/>
    </xf>
    <xf numFmtId="166" fontId="9" fillId="0" borderId="13" xfId="1" applyNumberFormat="1" applyFont="1" applyBorder="1" applyAlignment="1">
      <alignment horizontal="right" vertical="center"/>
    </xf>
    <xf numFmtId="166" fontId="6" fillId="0" borderId="13" xfId="0" applyNumberFormat="1" applyFont="1" applyBorder="1"/>
    <xf numFmtId="164" fontId="9" fillId="0" borderId="36" xfId="0" applyNumberFormat="1" applyFont="1" applyFill="1" applyBorder="1" applyAlignment="1">
      <alignment horizontal="right" vertical="center"/>
    </xf>
    <xf numFmtId="164" fontId="9" fillId="0" borderId="43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/>
    </xf>
    <xf numFmtId="0" fontId="6" fillId="0" borderId="4" xfId="0" applyFont="1" applyFill="1" applyBorder="1"/>
    <xf numFmtId="49" fontId="9" fillId="0" borderId="2" xfId="0" applyNumberFormat="1" applyFont="1" applyBorder="1" applyAlignment="1">
      <alignment horizontal="center" vertical="center" wrapText="1"/>
    </xf>
    <xf numFmtId="8" fontId="9" fillId="0" borderId="4" xfId="0" applyNumberFormat="1" applyFont="1" applyFill="1" applyBorder="1" applyAlignment="1">
      <alignment horizontal="right" vertical="center"/>
    </xf>
    <xf numFmtId="8" fontId="9" fillId="0" borderId="24" xfId="0" applyNumberFormat="1" applyFont="1" applyFill="1" applyBorder="1" applyAlignment="1">
      <alignment horizontal="right" vertical="center"/>
    </xf>
    <xf numFmtId="40" fontId="8" fillId="4" borderId="15" xfId="0" applyNumberFormat="1" applyFont="1" applyFill="1" applyBorder="1" applyAlignment="1">
      <alignment horizontal="right" vertical="center"/>
    </xf>
    <xf numFmtId="0" fontId="6" fillId="4" borderId="0" xfId="0" applyFont="1" applyFill="1"/>
    <xf numFmtId="166" fontId="9" fillId="5" borderId="0" xfId="0" applyNumberFormat="1" applyFont="1" applyFill="1" applyBorder="1" applyAlignment="1">
      <alignment horizontal="right" vertical="center"/>
    </xf>
    <xf numFmtId="166" fontId="9" fillId="5" borderId="13" xfId="0" applyNumberFormat="1" applyFont="1" applyFill="1" applyBorder="1" applyAlignment="1">
      <alignment horizontal="right" vertical="center"/>
    </xf>
    <xf numFmtId="0" fontId="6" fillId="5" borderId="0" xfId="0" applyFont="1" applyFill="1"/>
    <xf numFmtId="0" fontId="11" fillId="0" borderId="0" xfId="0" applyNumberFormat="1" applyFont="1" applyFill="1" applyAlignment="1">
      <alignment horizontal="left" vertical="top" wrapText="1"/>
    </xf>
    <xf numFmtId="49" fontId="9" fillId="0" borderId="28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5" fontId="11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8" fontId="8" fillId="0" borderId="23" xfId="0" applyNumberFormat="1" applyFont="1" applyFill="1" applyBorder="1" applyAlignment="1">
      <alignment horizontal="center" vertical="center" wrapText="1"/>
    </xf>
    <xf numFmtId="8" fontId="8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8" fontId="9" fillId="0" borderId="15" xfId="0" applyNumberFormat="1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B7" sqref="B7"/>
    </sheetView>
  </sheetViews>
  <sheetFormatPr defaultRowHeight="14.5"/>
  <cols>
    <col min="1" max="1" width="53.453125" bestFit="1" customWidth="1"/>
    <col min="2" max="2" width="14.453125" style="11" bestFit="1" customWidth="1"/>
  </cols>
  <sheetData>
    <row r="1" spans="1:25">
      <c r="A1" s="7" t="s">
        <v>123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>
      <c r="A2" s="9" t="s">
        <v>122</v>
      </c>
      <c r="B2" s="112">
        <v>44456402</v>
      </c>
      <c r="F2" s="8"/>
      <c r="J2" s="2"/>
      <c r="K2" s="2"/>
      <c r="L2" s="2"/>
      <c r="M2" s="2"/>
      <c r="N2" s="2"/>
      <c r="O2" s="2"/>
      <c r="P2" s="2"/>
      <c r="Q2" s="2"/>
    </row>
    <row r="3" spans="1:25">
      <c r="A3" s="9" t="s">
        <v>110</v>
      </c>
      <c r="B3" s="113">
        <v>94.763999999999996</v>
      </c>
    </row>
    <row r="4" spans="1:25">
      <c r="A4" s="9" t="s">
        <v>121</v>
      </c>
      <c r="B4" s="114">
        <v>79</v>
      </c>
    </row>
    <row r="5" spans="1:25">
      <c r="A5" s="9" t="s">
        <v>106</v>
      </c>
      <c r="B5" s="112">
        <f>B2*(B3/100)*(B4/100)</f>
        <v>33281645.185111199</v>
      </c>
    </row>
    <row r="6" spans="1:25">
      <c r="A6" s="9" t="s">
        <v>107</v>
      </c>
      <c r="B6" s="112">
        <v>33117000</v>
      </c>
    </row>
    <row r="7" spans="1:25">
      <c r="A7" s="9" t="s">
        <v>111</v>
      </c>
      <c r="B7" s="115"/>
    </row>
    <row r="8" spans="1:25">
      <c r="A8" s="9" t="s">
        <v>108</v>
      </c>
      <c r="B8" s="116"/>
      <c r="C8" s="9"/>
    </row>
    <row r="9" spans="1:25">
      <c r="A9" s="9" t="s">
        <v>109</v>
      </c>
      <c r="B9" s="112">
        <v>33117000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2" sqref="D2:H2"/>
    </sheetView>
  </sheetViews>
  <sheetFormatPr defaultColWidth="9.1796875" defaultRowHeight="13"/>
  <cols>
    <col min="1" max="1" width="16.81640625" style="1" customWidth="1"/>
    <col min="2" max="2" width="4.81640625" style="2" bestFit="1" customWidth="1"/>
    <col min="3" max="3" width="12.7265625" style="2" customWidth="1"/>
    <col min="4" max="4" width="12.7265625" style="163" customWidth="1"/>
    <col min="5" max="5" width="12.7265625" style="164" customWidth="1"/>
    <col min="6" max="6" width="12.7265625" style="134" customWidth="1"/>
    <col min="7" max="8" width="12.7265625" style="139" customWidth="1"/>
    <col min="9" max="9" width="12.7265625" style="150" customWidth="1"/>
    <col min="10" max="10" width="12.7265625" style="149" customWidth="1"/>
    <col min="11" max="13" width="12.7265625" style="139" customWidth="1"/>
    <col min="14" max="14" width="12.7265625" style="96" customWidth="1"/>
    <col min="15" max="15" width="12.7265625" style="178" customWidth="1"/>
    <col min="16" max="19" width="12.7265625" style="1" customWidth="1"/>
    <col min="20" max="20" width="12.7265625" style="120" customWidth="1"/>
    <col min="21" max="25" width="12.7265625" style="1" customWidth="1"/>
    <col min="26" max="27" width="11.7265625" style="1" customWidth="1"/>
    <col min="28" max="28" width="12.26953125" style="1" bestFit="1" customWidth="1"/>
    <col min="29" max="33" width="11.7265625" style="1" customWidth="1"/>
    <col min="34" max="35" width="11.7265625" style="105" customWidth="1"/>
    <col min="36" max="41" width="11.7265625" style="1" customWidth="1"/>
    <col min="42" max="43" width="11.7265625" style="105" customWidth="1"/>
    <col min="44" max="48" width="11.7265625" style="1" customWidth="1"/>
    <col min="49" max="49" width="11.7265625" style="13" customWidth="1"/>
    <col min="50" max="16384" width="9.1796875" style="1"/>
  </cols>
  <sheetData>
    <row r="1" spans="1:55" ht="12.5">
      <c r="A1" s="223" t="s">
        <v>127</v>
      </c>
      <c r="B1" s="223"/>
      <c r="C1" s="223"/>
      <c r="D1" s="223"/>
      <c r="E1" s="157" t="s">
        <v>119</v>
      </c>
      <c r="F1" s="130">
        <v>42726</v>
      </c>
      <c r="G1" s="135"/>
      <c r="H1" s="135"/>
      <c r="I1" s="135"/>
      <c r="J1" s="135"/>
      <c r="K1" s="135"/>
      <c r="L1" s="135"/>
      <c r="M1" s="135"/>
      <c r="N1" s="135"/>
      <c r="O1" s="177"/>
      <c r="P1" s="86"/>
      <c r="Q1" s="86"/>
      <c r="R1" s="86"/>
      <c r="S1" s="86"/>
      <c r="T1" s="117"/>
      <c r="U1" s="86"/>
      <c r="V1" s="86"/>
      <c r="W1" s="86"/>
      <c r="X1" s="86"/>
      <c r="Y1" s="86"/>
      <c r="Z1" s="86"/>
      <c r="AA1" s="12"/>
      <c r="AB1" s="13"/>
      <c r="AC1" s="13"/>
      <c r="AD1" s="13"/>
      <c r="AE1" s="13"/>
      <c r="AF1" s="13"/>
      <c r="AG1" s="13"/>
      <c r="AH1" s="99"/>
      <c r="AI1" s="99"/>
      <c r="AJ1" s="13"/>
      <c r="AK1" s="13"/>
      <c r="AL1" s="13"/>
      <c r="AM1" s="13"/>
      <c r="AN1" s="13"/>
      <c r="AO1" s="13"/>
      <c r="AP1" s="99"/>
      <c r="AQ1" s="99"/>
      <c r="AR1" s="13"/>
      <c r="AS1" s="13"/>
      <c r="AT1" s="13"/>
      <c r="AU1" s="13"/>
      <c r="AV1" s="13"/>
    </row>
    <row r="2" spans="1:55" s="3" customFormat="1" ht="27" customHeight="1">
      <c r="A2" s="200" t="s">
        <v>0</v>
      </c>
      <c r="B2" s="202" t="s">
        <v>1</v>
      </c>
      <c r="C2" s="234" t="s">
        <v>136</v>
      </c>
      <c r="D2" s="189" t="s">
        <v>116</v>
      </c>
      <c r="E2" s="189"/>
      <c r="F2" s="189"/>
      <c r="G2" s="189"/>
      <c r="H2" s="196"/>
      <c r="I2" s="232" t="s">
        <v>130</v>
      </c>
      <c r="J2" s="208" t="s">
        <v>131</v>
      </c>
      <c r="K2" s="224" t="s">
        <v>150</v>
      </c>
      <c r="L2" s="225"/>
      <c r="M2" s="189" t="s">
        <v>132</v>
      </c>
      <c r="N2" s="205" t="s">
        <v>105</v>
      </c>
      <c r="O2" s="196" t="s">
        <v>152</v>
      </c>
      <c r="P2" s="207" t="s">
        <v>115</v>
      </c>
      <c r="Q2" s="207"/>
      <c r="R2" s="207"/>
      <c r="S2" s="207"/>
      <c r="T2" s="219" t="s">
        <v>133</v>
      </c>
      <c r="U2" s="221" t="s">
        <v>118</v>
      </c>
      <c r="V2" s="189" t="s">
        <v>103</v>
      </c>
      <c r="W2" s="221" t="s">
        <v>104</v>
      </c>
      <c r="X2" s="196" t="s">
        <v>134</v>
      </c>
      <c r="Y2" s="210" t="s">
        <v>135</v>
      </c>
      <c r="Z2" s="212" t="s">
        <v>112</v>
      </c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</row>
    <row r="3" spans="1:55" s="3" customFormat="1" ht="15" customHeight="1">
      <c r="A3" s="200"/>
      <c r="B3" s="202"/>
      <c r="C3" s="234"/>
      <c r="D3" s="228" t="s">
        <v>124</v>
      </c>
      <c r="E3" s="191" t="s">
        <v>128</v>
      </c>
      <c r="F3" s="230" t="s">
        <v>129</v>
      </c>
      <c r="G3" s="189" t="s">
        <v>101</v>
      </c>
      <c r="H3" s="196" t="s">
        <v>102</v>
      </c>
      <c r="I3" s="232"/>
      <c r="J3" s="208"/>
      <c r="K3" s="189" t="s">
        <v>114</v>
      </c>
      <c r="L3" s="189" t="s">
        <v>117</v>
      </c>
      <c r="M3" s="189"/>
      <c r="N3" s="205"/>
      <c r="O3" s="196"/>
      <c r="P3" s="193" t="s">
        <v>138</v>
      </c>
      <c r="Q3" s="194"/>
      <c r="R3" s="195" t="s">
        <v>139</v>
      </c>
      <c r="S3" s="194"/>
      <c r="T3" s="219"/>
      <c r="U3" s="221"/>
      <c r="V3" s="189"/>
      <c r="W3" s="221"/>
      <c r="X3" s="196"/>
      <c r="Y3" s="210"/>
      <c r="Z3" s="195" t="s">
        <v>125</v>
      </c>
      <c r="AA3" s="194"/>
      <c r="AB3" s="226" t="s">
        <v>126</v>
      </c>
      <c r="AC3" s="227"/>
      <c r="AD3" s="188" t="s">
        <v>140</v>
      </c>
      <c r="AE3" s="188"/>
      <c r="AF3" s="188" t="s">
        <v>141</v>
      </c>
      <c r="AG3" s="188"/>
      <c r="AH3" s="188" t="s">
        <v>142</v>
      </c>
      <c r="AI3" s="188"/>
      <c r="AJ3" s="188" t="s">
        <v>143</v>
      </c>
      <c r="AK3" s="188"/>
      <c r="AL3" s="188" t="s">
        <v>144</v>
      </c>
      <c r="AM3" s="188"/>
      <c r="AN3" s="188" t="s">
        <v>145</v>
      </c>
      <c r="AO3" s="218"/>
      <c r="AP3" s="213" t="s">
        <v>146</v>
      </c>
      <c r="AQ3" s="214"/>
      <c r="AR3" s="215" t="s">
        <v>147</v>
      </c>
      <c r="AS3" s="216"/>
      <c r="AT3" s="215" t="s">
        <v>148</v>
      </c>
      <c r="AU3" s="216"/>
      <c r="AV3" s="215" t="s">
        <v>149</v>
      </c>
      <c r="AW3" s="217"/>
      <c r="AX3" s="90"/>
    </row>
    <row r="4" spans="1:55" s="4" customFormat="1" ht="12.5">
      <c r="A4" s="201"/>
      <c r="B4" s="203"/>
      <c r="C4" s="235"/>
      <c r="D4" s="229"/>
      <c r="E4" s="192"/>
      <c r="F4" s="231"/>
      <c r="G4" s="190"/>
      <c r="H4" s="197"/>
      <c r="I4" s="233"/>
      <c r="J4" s="209"/>
      <c r="K4" s="190"/>
      <c r="L4" s="190"/>
      <c r="M4" s="204"/>
      <c r="N4" s="206"/>
      <c r="O4" s="197"/>
      <c r="P4" s="179" t="s">
        <v>120</v>
      </c>
      <c r="Q4" s="69" t="s">
        <v>117</v>
      </c>
      <c r="R4" s="70" t="s">
        <v>120</v>
      </c>
      <c r="S4" s="44" t="s">
        <v>117</v>
      </c>
      <c r="T4" s="220"/>
      <c r="U4" s="222"/>
      <c r="V4" s="190"/>
      <c r="W4" s="222"/>
      <c r="X4" s="197"/>
      <c r="Y4" s="211"/>
      <c r="Z4" s="34" t="s">
        <v>113</v>
      </c>
      <c r="AA4" s="35" t="s">
        <v>117</v>
      </c>
      <c r="AB4" s="34" t="s">
        <v>113</v>
      </c>
      <c r="AC4" s="35" t="s">
        <v>117</v>
      </c>
      <c r="AD4" s="48" t="s">
        <v>113</v>
      </c>
      <c r="AE4" s="35" t="s">
        <v>117</v>
      </c>
      <c r="AF4" s="14" t="s">
        <v>113</v>
      </c>
      <c r="AG4" s="35" t="s">
        <v>117</v>
      </c>
      <c r="AH4" s="100" t="s">
        <v>113</v>
      </c>
      <c r="AI4" s="101" t="s">
        <v>117</v>
      </c>
      <c r="AJ4" s="14" t="s">
        <v>113</v>
      </c>
      <c r="AK4" s="35" t="s">
        <v>117</v>
      </c>
      <c r="AL4" s="15" t="s">
        <v>113</v>
      </c>
      <c r="AM4" s="35" t="s">
        <v>117</v>
      </c>
      <c r="AN4" s="34" t="s">
        <v>113</v>
      </c>
      <c r="AO4" s="35" t="s">
        <v>117</v>
      </c>
      <c r="AP4" s="122" t="s">
        <v>113</v>
      </c>
      <c r="AQ4" s="101" t="s">
        <v>117</v>
      </c>
      <c r="AR4" s="48" t="s">
        <v>113</v>
      </c>
      <c r="AS4" s="35" t="s">
        <v>117</v>
      </c>
      <c r="AT4" s="14" t="s">
        <v>113</v>
      </c>
      <c r="AU4" s="35" t="s">
        <v>117</v>
      </c>
      <c r="AV4" s="15" t="s">
        <v>113</v>
      </c>
      <c r="AW4" s="35" t="s">
        <v>117</v>
      </c>
    </row>
    <row r="5" spans="1:55" ht="12.5">
      <c r="A5" s="16" t="s">
        <v>2</v>
      </c>
      <c r="B5" s="17">
        <v>1</v>
      </c>
      <c r="C5" s="124">
        <v>7.8392337676038305E-3</v>
      </c>
      <c r="D5" s="158">
        <v>320339.51650191651</v>
      </c>
      <c r="E5" s="158">
        <v>284959.64273157553</v>
      </c>
      <c r="F5" s="131">
        <f>C5*Allocations!$B$6</f>
        <v>259611.90468173605</v>
      </c>
      <c r="G5" s="136">
        <f t="shared" ref="G5:G36" si="0">SUM(D5:F5)</f>
        <v>864911.06391522812</v>
      </c>
      <c r="H5" s="88">
        <f t="shared" ref="H5:H36" si="1">SUM(D5:F5)/3</f>
        <v>288303.68797174271</v>
      </c>
      <c r="I5" s="141">
        <v>332379.26409347786</v>
      </c>
      <c r="J5" s="142">
        <f>F5+I5</f>
        <v>591991.16877521388</v>
      </c>
      <c r="K5" s="154">
        <f>Z5+AB5+AD5+AF5+AH5+AJ5+AL5+AN5+AP5+AR5+AT5+AV5</f>
        <v>0</v>
      </c>
      <c r="L5" s="154">
        <f>AA5+AC5+AE5+AG5+AI5+AK5+AM5+AO5+AQ5+AS5+AU5+AW5</f>
        <v>0</v>
      </c>
      <c r="M5" s="155">
        <f>J5-L5</f>
        <v>591991.16877521388</v>
      </c>
      <c r="N5" s="174">
        <f t="shared" ref="N5:N36" si="2">M5/H5</f>
        <v>2.0533596810361865</v>
      </c>
      <c r="O5" s="180">
        <f>(F5*6)+M5</f>
        <v>2149662.5968656302</v>
      </c>
      <c r="P5" s="53"/>
      <c r="Q5" s="19"/>
      <c r="R5" s="19"/>
      <c r="S5" s="19"/>
      <c r="T5" s="118">
        <f t="shared" ref="T5:T68" si="3">IF(((M5-G5)-(Q5+S5))&gt;0,((M5-G5)-(Q5+S5)),0)</f>
        <v>0</v>
      </c>
      <c r="U5" s="55">
        <f t="shared" ref="U5:U36" si="4">IF(T5&gt;0,0,F5)</f>
        <v>259611.90468173605</v>
      </c>
      <c r="V5" s="56">
        <f t="shared" ref="V5:V36" si="5">IF(U5&gt;0.01,F5/$U$104,0)</f>
        <v>7.8811309342886743E-3</v>
      </c>
      <c r="W5" s="53">
        <f>IF(V5&gt;0.000000001,V5*$T$104,0)</f>
        <v>592.08454153066509</v>
      </c>
      <c r="X5" s="36">
        <f>C5*Allocations!$B$9</f>
        <v>259611.90468173605</v>
      </c>
      <c r="Y5" s="54">
        <f>I5-L5+W5+X5-T5</f>
        <v>592583.25331674458</v>
      </c>
      <c r="Z5" s="98"/>
      <c r="AA5" s="36"/>
      <c r="AB5" s="40"/>
      <c r="AC5" s="47"/>
      <c r="AD5" s="74"/>
      <c r="AE5" s="72"/>
      <c r="AF5" s="75"/>
      <c r="AG5" s="36"/>
      <c r="AH5" s="74"/>
      <c r="AI5" s="72"/>
      <c r="AJ5" s="18"/>
      <c r="AK5" s="37"/>
      <c r="AL5" s="74"/>
      <c r="AM5" s="82"/>
      <c r="AN5" s="74"/>
      <c r="AO5" s="82"/>
      <c r="AP5" s="74"/>
      <c r="AQ5" s="82"/>
      <c r="AR5" s="18"/>
      <c r="AS5" s="37"/>
      <c r="AT5" s="74"/>
      <c r="AU5" s="72"/>
      <c r="AV5" s="20"/>
      <c r="AW5" s="67"/>
    </row>
    <row r="6" spans="1:55" ht="12.5">
      <c r="A6" s="16" t="s">
        <v>3</v>
      </c>
      <c r="B6" s="17">
        <v>2</v>
      </c>
      <c r="C6" s="124">
        <v>9.8087325004348573E-3</v>
      </c>
      <c r="D6" s="159">
        <v>323070.93326327129</v>
      </c>
      <c r="E6" s="159">
        <v>326970.44993706548</v>
      </c>
      <c r="F6" s="131">
        <f>C6*Allocations!$B$6</f>
        <v>324835.79421690118</v>
      </c>
      <c r="G6" s="136">
        <f t="shared" si="0"/>
        <v>974877.17741723789</v>
      </c>
      <c r="H6" s="88">
        <f t="shared" si="1"/>
        <v>324959.0591390793</v>
      </c>
      <c r="I6" s="141">
        <v>-413106.49321810866</v>
      </c>
      <c r="J6" s="142">
        <f t="shared" ref="J6:J69" si="6">F6+I6</f>
        <v>-88270.699001207482</v>
      </c>
      <c r="K6" s="154">
        <f>Z6+AB6+AD6+AF6+AH6+AJ6+AL6+AN6+AP6+AR6+AT6+AV6</f>
        <v>2801262.73</v>
      </c>
      <c r="L6" s="154">
        <f>AA6+AC6+AE6+AG6+AI6+AK6+AM6+AO6+AQ6+AS6+AU6+AW6</f>
        <v>1456000</v>
      </c>
      <c r="M6" s="155">
        <f>J6-L6</f>
        <v>-1544270.6990012075</v>
      </c>
      <c r="N6" s="175">
        <f t="shared" si="2"/>
        <v>-4.7522007944399993</v>
      </c>
      <c r="O6" s="180">
        <f t="shared" ref="O6:O69" si="7">(F6*6)+M6</f>
        <v>404744.0663001996</v>
      </c>
      <c r="P6" s="51"/>
      <c r="Q6" s="21"/>
      <c r="R6" s="21"/>
      <c r="S6" s="21"/>
      <c r="T6" s="118">
        <f t="shared" si="3"/>
        <v>0</v>
      </c>
      <c r="U6" s="57">
        <f t="shared" si="4"/>
        <v>324835.79421690118</v>
      </c>
      <c r="V6" s="56">
        <f t="shared" si="5"/>
        <v>9.8611557490227587E-3</v>
      </c>
      <c r="W6" s="51">
        <f>IF(V6&gt;0.000000001,V6*$T$104,0)</f>
        <v>740.83756878347049</v>
      </c>
      <c r="X6" s="37">
        <f>C6*Allocations!$B$9</f>
        <v>324835.79421690118</v>
      </c>
      <c r="Y6" s="54">
        <f t="shared" ref="Y6:Y69" si="8">I6-L6+W6+X6-T6</f>
        <v>-1543529.8614324238</v>
      </c>
      <c r="Z6" s="42"/>
      <c r="AA6" s="45"/>
      <c r="AB6" s="84"/>
      <c r="AC6" s="72"/>
      <c r="AD6" s="74"/>
      <c r="AE6" s="72"/>
      <c r="AF6" s="75"/>
      <c r="AG6" s="36"/>
      <c r="AH6" s="74"/>
      <c r="AI6" s="128"/>
      <c r="AJ6" s="74"/>
      <c r="AK6" s="72"/>
      <c r="AL6" s="74"/>
      <c r="AM6" s="72"/>
      <c r="AN6" s="18"/>
      <c r="AO6" s="37"/>
      <c r="AP6" s="74"/>
      <c r="AQ6" s="72"/>
      <c r="AR6" s="18"/>
      <c r="AS6" s="37"/>
      <c r="AV6" s="74">
        <v>2801262.73</v>
      </c>
      <c r="AW6" s="72">
        <v>1456000</v>
      </c>
      <c r="AX6" s="96"/>
    </row>
    <row r="7" spans="1:55" ht="12.5">
      <c r="A7" s="16" t="s">
        <v>4</v>
      </c>
      <c r="B7" s="17">
        <v>3</v>
      </c>
      <c r="C7" s="124">
        <v>7.5620835621220605E-3</v>
      </c>
      <c r="D7" s="159">
        <v>247870.29344621985</v>
      </c>
      <c r="E7" s="159">
        <v>252504.08245891254</v>
      </c>
      <c r="F7" s="131">
        <f>C7*Allocations!$B$6</f>
        <v>250433.52132679627</v>
      </c>
      <c r="G7" s="136">
        <f t="shared" si="0"/>
        <v>750807.89723192865</v>
      </c>
      <c r="H7" s="88">
        <f t="shared" si="1"/>
        <v>250269.29907730955</v>
      </c>
      <c r="I7" s="141">
        <v>-51053.394648325717</v>
      </c>
      <c r="J7" s="142">
        <f t="shared" si="6"/>
        <v>199380.12667847055</v>
      </c>
      <c r="K7" s="155">
        <f t="shared" ref="K7:K69" si="9">Z7+AB7+AD7+AF7+AH7+AJ7+AL7+AN7+AP7+AR7+AT7+AV7</f>
        <v>0</v>
      </c>
      <c r="L7" s="155">
        <f t="shared" ref="L7:L69" si="10">AA7+AC7+AE7+AG7+AI7+AK7+AM7+AO7+AQ7+AS7+AU7+AW7</f>
        <v>0</v>
      </c>
      <c r="M7" s="155">
        <f t="shared" ref="M7:M70" si="11">J7-L7</f>
        <v>199380.12667847055</v>
      </c>
      <c r="N7" s="175">
        <f t="shared" si="2"/>
        <v>0.79666234497616484</v>
      </c>
      <c r="O7" s="180">
        <f t="shared" si="7"/>
        <v>1701981.2546392481</v>
      </c>
      <c r="P7" s="51"/>
      <c r="Q7" s="21"/>
      <c r="R7" s="21"/>
      <c r="S7" s="21"/>
      <c r="T7" s="118">
        <f t="shared" si="3"/>
        <v>0</v>
      </c>
      <c r="U7" s="57">
        <f t="shared" si="4"/>
        <v>250433.52132679627</v>
      </c>
      <c r="V7" s="56">
        <f t="shared" si="5"/>
        <v>7.6024994860349644E-3</v>
      </c>
      <c r="W7" s="51">
        <f>IF(V7&gt;0.000000001,V7*$T$104,0)</f>
        <v>571.15183851242591</v>
      </c>
      <c r="X7" s="37">
        <f>C7*Allocations!$B$9</f>
        <v>250433.52132679627</v>
      </c>
      <c r="Y7" s="54">
        <f t="shared" si="8"/>
        <v>199951.27851698297</v>
      </c>
      <c r="Z7" s="42"/>
      <c r="AA7" s="45"/>
      <c r="AB7" s="40"/>
      <c r="AC7" s="37"/>
      <c r="AD7" s="74"/>
      <c r="AE7" s="72"/>
      <c r="AF7" s="74"/>
      <c r="AG7" s="72"/>
      <c r="AH7" s="74"/>
      <c r="AI7" s="128"/>
      <c r="AJ7" s="18"/>
      <c r="AK7" s="37"/>
      <c r="AL7" s="74"/>
      <c r="AM7" s="72"/>
      <c r="AN7" s="18"/>
      <c r="AO7" s="37"/>
      <c r="AP7" s="74"/>
      <c r="AQ7" s="72"/>
      <c r="AR7" s="18"/>
      <c r="AS7" s="37"/>
      <c r="AT7" s="18"/>
      <c r="AU7" s="37"/>
      <c r="AV7" s="20"/>
      <c r="AW7" s="65"/>
    </row>
    <row r="8" spans="1:55" ht="12.5">
      <c r="A8" s="16" t="s">
        <v>5</v>
      </c>
      <c r="B8" s="17">
        <v>4</v>
      </c>
      <c r="C8" s="124">
        <v>6.9097261776643578E-3</v>
      </c>
      <c r="D8" s="159">
        <v>237339.92997355125</v>
      </c>
      <c r="E8" s="159">
        <v>206002.4570528506</v>
      </c>
      <c r="F8" s="131">
        <f>C8*Allocations!$B$6</f>
        <v>228829.40182571055</v>
      </c>
      <c r="G8" s="136">
        <f t="shared" si="0"/>
        <v>672171.78885211237</v>
      </c>
      <c r="H8" s="88">
        <f t="shared" si="1"/>
        <v>224057.26295070411</v>
      </c>
      <c r="I8" s="141">
        <v>278075.27366560628</v>
      </c>
      <c r="J8" s="142">
        <f t="shared" si="6"/>
        <v>506904.67549131683</v>
      </c>
      <c r="K8" s="155">
        <f t="shared" si="9"/>
        <v>0</v>
      </c>
      <c r="L8" s="155">
        <f t="shared" si="10"/>
        <v>0</v>
      </c>
      <c r="M8" s="155">
        <f t="shared" si="11"/>
        <v>506904.67549131683</v>
      </c>
      <c r="N8" s="175">
        <f t="shared" si="2"/>
        <v>2.2623889483236406</v>
      </c>
      <c r="O8" s="180">
        <f t="shared" si="7"/>
        <v>1879881.0864455802</v>
      </c>
      <c r="P8" s="51"/>
      <c r="Q8" s="21"/>
      <c r="R8" s="21"/>
      <c r="S8" s="21"/>
      <c r="T8" s="118">
        <f t="shared" si="3"/>
        <v>0</v>
      </c>
      <c r="U8" s="57">
        <f t="shared" si="4"/>
        <v>228829.40182571055</v>
      </c>
      <c r="V8" s="56">
        <f t="shared" si="5"/>
        <v>6.9466555457626282E-3</v>
      </c>
      <c r="W8" s="51">
        <f t="shared" ref="W8:W71" si="12">IF(V8&gt;0.000000001,V8*$T$104,0)</f>
        <v>521.88034918817709</v>
      </c>
      <c r="X8" s="37">
        <f>C8*Allocations!$B$9</f>
        <v>228829.40182571055</v>
      </c>
      <c r="Y8" s="54">
        <f t="shared" si="8"/>
        <v>507426.555840505</v>
      </c>
      <c r="Z8" s="40"/>
      <c r="AA8" s="37"/>
      <c r="AB8" s="40"/>
      <c r="AC8" s="37"/>
      <c r="AD8" s="74"/>
      <c r="AE8" s="72"/>
      <c r="AF8" s="75"/>
      <c r="AG8" s="36"/>
      <c r="AH8" s="102"/>
      <c r="AI8" s="72"/>
      <c r="AJ8" s="74"/>
      <c r="AK8" s="72"/>
      <c r="AL8" s="105"/>
      <c r="AM8" s="173"/>
      <c r="AN8" s="74"/>
      <c r="AO8" s="72"/>
      <c r="AP8" s="74"/>
      <c r="AQ8" s="72"/>
      <c r="AR8" s="74"/>
      <c r="AS8" s="72"/>
      <c r="AT8" s="18"/>
      <c r="AU8" s="37"/>
      <c r="AV8" s="20"/>
      <c r="AW8" s="65"/>
    </row>
    <row r="9" spans="1:55" ht="12.5">
      <c r="A9" s="22" t="s">
        <v>6</v>
      </c>
      <c r="B9" s="23">
        <v>5</v>
      </c>
      <c r="C9" s="125">
        <v>8.5318797588920629E-3</v>
      </c>
      <c r="D9" s="160">
        <v>295364.37154005596</v>
      </c>
      <c r="E9" s="160">
        <v>273827.4184013675</v>
      </c>
      <c r="F9" s="132">
        <f>C9*Allocations!$B$6</f>
        <v>282550.26197522844</v>
      </c>
      <c r="G9" s="137">
        <f t="shared" si="0"/>
        <v>851742.05191665189</v>
      </c>
      <c r="H9" s="111">
        <f t="shared" si="1"/>
        <v>283914.01730555063</v>
      </c>
      <c r="I9" s="143">
        <v>378346.44757763337</v>
      </c>
      <c r="J9" s="144">
        <f t="shared" si="6"/>
        <v>660896.70955286175</v>
      </c>
      <c r="K9" s="156">
        <f t="shared" si="9"/>
        <v>811342.95</v>
      </c>
      <c r="L9" s="156">
        <f t="shared" si="10"/>
        <v>475861.06</v>
      </c>
      <c r="M9" s="156">
        <f t="shared" si="11"/>
        <v>185035.64955286175</v>
      </c>
      <c r="N9" s="176">
        <f t="shared" si="2"/>
        <v>0.6517312928361858</v>
      </c>
      <c r="O9" s="181">
        <f t="shared" si="7"/>
        <v>1880337.2214042323</v>
      </c>
      <c r="P9" s="52"/>
      <c r="Q9" s="25"/>
      <c r="R9" s="25"/>
      <c r="S9" s="25"/>
      <c r="T9" s="119">
        <f t="shared" si="3"/>
        <v>0</v>
      </c>
      <c r="U9" s="58">
        <f t="shared" si="4"/>
        <v>282550.26197522844</v>
      </c>
      <c r="V9" s="59">
        <f t="shared" si="5"/>
        <v>8.5774788058130234E-3</v>
      </c>
      <c r="W9" s="52">
        <f t="shared" si="12"/>
        <v>644.39896362249419</v>
      </c>
      <c r="X9" s="38">
        <f>C9*Allocations!$B$9</f>
        <v>282550.26197522844</v>
      </c>
      <c r="Y9" s="83">
        <f t="shared" si="8"/>
        <v>185680.0485164843</v>
      </c>
      <c r="Z9" s="41"/>
      <c r="AA9" s="38"/>
      <c r="AB9" s="41"/>
      <c r="AC9" s="38"/>
      <c r="AD9" s="168">
        <v>433033.25</v>
      </c>
      <c r="AE9" s="169">
        <v>173213.3</v>
      </c>
      <c r="AF9" s="79">
        <v>378309.7</v>
      </c>
      <c r="AG9" s="73">
        <v>302647.76</v>
      </c>
      <c r="AH9" s="79"/>
      <c r="AI9" s="73"/>
      <c r="AJ9" s="26"/>
      <c r="AK9" s="38"/>
      <c r="AL9" s="79"/>
      <c r="AM9" s="73"/>
      <c r="AN9" s="26"/>
      <c r="AO9" s="38"/>
      <c r="AP9" s="79"/>
      <c r="AQ9" s="73"/>
      <c r="AR9" s="26"/>
      <c r="AS9" s="38"/>
      <c r="AT9" s="26"/>
      <c r="AU9" s="38"/>
      <c r="AV9" s="24"/>
      <c r="AW9" s="66"/>
      <c r="AX9" s="170" t="s">
        <v>151</v>
      </c>
    </row>
    <row r="10" spans="1:55" ht="12.5">
      <c r="A10" s="27" t="s">
        <v>7</v>
      </c>
      <c r="B10" s="17">
        <v>6</v>
      </c>
      <c r="C10" s="124">
        <v>1.9992893820448377E-2</v>
      </c>
      <c r="D10" s="159">
        <v>653641.05443420797</v>
      </c>
      <c r="E10" s="159">
        <v>654198.78410715156</v>
      </c>
      <c r="F10" s="131">
        <f>C10*Allocations!$B$6</f>
        <v>662104.66465178889</v>
      </c>
      <c r="G10" s="136">
        <f t="shared" si="0"/>
        <v>1969944.5031931484</v>
      </c>
      <c r="H10" s="88">
        <f t="shared" si="1"/>
        <v>656648.16773104947</v>
      </c>
      <c r="I10" s="141">
        <v>1761008.7497232826</v>
      </c>
      <c r="J10" s="142">
        <f t="shared" si="6"/>
        <v>2423113.4143750714</v>
      </c>
      <c r="K10" s="155">
        <f t="shared" si="9"/>
        <v>1444110</v>
      </c>
      <c r="L10" s="155">
        <f t="shared" si="10"/>
        <v>1155288</v>
      </c>
      <c r="M10" s="155">
        <f t="shared" si="11"/>
        <v>1267825.4143750714</v>
      </c>
      <c r="N10" s="175">
        <f t="shared" si="2"/>
        <v>1.9307529917518151</v>
      </c>
      <c r="O10" s="180">
        <f t="shared" si="7"/>
        <v>5240453.402285805</v>
      </c>
      <c r="P10" s="51"/>
      <c r="Q10" s="21"/>
      <c r="R10" s="21"/>
      <c r="S10" s="21"/>
      <c r="T10" s="118">
        <f t="shared" si="3"/>
        <v>0</v>
      </c>
      <c r="U10" s="57">
        <f t="shared" si="4"/>
        <v>662104.66465178889</v>
      </c>
      <c r="V10" s="56">
        <f t="shared" si="5"/>
        <v>2.009974681523587E-2</v>
      </c>
      <c r="W10" s="51">
        <f t="shared" si="12"/>
        <v>1510.0306640262031</v>
      </c>
      <c r="X10" s="37">
        <f>C10*Allocations!$B$9</f>
        <v>662104.66465178889</v>
      </c>
      <c r="Y10" s="54">
        <f t="shared" si="8"/>
        <v>1269335.4450390977</v>
      </c>
      <c r="Z10" s="40"/>
      <c r="AA10" s="37"/>
      <c r="AB10" s="97"/>
      <c r="AC10" s="88"/>
      <c r="AD10" s="74"/>
      <c r="AE10" s="72"/>
      <c r="AF10" s="75"/>
      <c r="AG10" s="36"/>
      <c r="AH10" s="74"/>
      <c r="AI10" s="72"/>
      <c r="AJ10" s="74"/>
      <c r="AK10" s="72"/>
      <c r="AL10" s="74"/>
      <c r="AM10" s="72"/>
      <c r="AN10" s="74">
        <v>341208.9</v>
      </c>
      <c r="AO10" s="72">
        <v>272967.12</v>
      </c>
      <c r="AP10" s="74">
        <v>1102901.1000000001</v>
      </c>
      <c r="AQ10" s="72">
        <v>882320.88</v>
      </c>
      <c r="AR10" s="18"/>
      <c r="AS10" s="37"/>
      <c r="AT10" s="18"/>
      <c r="AU10" s="37"/>
      <c r="AV10" s="20"/>
      <c r="AW10" s="65"/>
      <c r="AX10" s="96"/>
      <c r="AY10" s="96"/>
      <c r="AZ10" s="96"/>
      <c r="BA10" s="96"/>
      <c r="BB10" s="96"/>
      <c r="BC10" s="96"/>
    </row>
    <row r="11" spans="1:55" ht="12.5">
      <c r="A11" s="27" t="s">
        <v>8</v>
      </c>
      <c r="B11" s="17">
        <v>7</v>
      </c>
      <c r="C11" s="124">
        <v>1.2027750584405285E-2</v>
      </c>
      <c r="D11" s="159">
        <v>329562.32102454407</v>
      </c>
      <c r="E11" s="159">
        <v>332913.13065078721</v>
      </c>
      <c r="F11" s="131">
        <f>C11*Allocations!$B$6</f>
        <v>398323.0161037498</v>
      </c>
      <c r="G11" s="136">
        <f t="shared" si="0"/>
        <v>1060798.4677790811</v>
      </c>
      <c r="H11" s="88">
        <f t="shared" si="1"/>
        <v>353599.48925969371</v>
      </c>
      <c r="I11" s="141">
        <v>1077568.9370447274</v>
      </c>
      <c r="J11" s="142">
        <f t="shared" si="6"/>
        <v>1475891.9531484772</v>
      </c>
      <c r="K11" s="155">
        <f t="shared" si="9"/>
        <v>376982.05</v>
      </c>
      <c r="L11" s="155">
        <f t="shared" si="10"/>
        <v>240826.44</v>
      </c>
      <c r="M11" s="155">
        <f t="shared" si="11"/>
        <v>1235065.5131484773</v>
      </c>
      <c r="N11" s="175">
        <f t="shared" si="2"/>
        <v>3.492837378623614</v>
      </c>
      <c r="O11" s="180">
        <f t="shared" si="7"/>
        <v>3625003.609770976</v>
      </c>
      <c r="P11" s="51"/>
      <c r="Q11" s="21"/>
      <c r="R11" s="21">
        <v>492088.75</v>
      </c>
      <c r="S11" s="21">
        <f>R11*0.8</f>
        <v>393671</v>
      </c>
      <c r="T11" s="118">
        <f t="shared" si="3"/>
        <v>0</v>
      </c>
      <c r="U11" s="57">
        <f t="shared" si="4"/>
        <v>398323.0161037498</v>
      </c>
      <c r="V11" s="56">
        <f t="shared" si="5"/>
        <v>1.2092033483221375E-2</v>
      </c>
      <c r="W11" s="51">
        <f t="shared" si="12"/>
        <v>908.43638568894983</v>
      </c>
      <c r="X11" s="37">
        <f>C11*Allocations!$B$9</f>
        <v>398323.0161037498</v>
      </c>
      <c r="Y11" s="54">
        <f t="shared" si="8"/>
        <v>1235973.9495341661</v>
      </c>
      <c r="Z11" s="40"/>
      <c r="AA11" s="37"/>
      <c r="AB11" s="84">
        <v>96979.5</v>
      </c>
      <c r="AC11" s="72">
        <v>77583.600000000006</v>
      </c>
      <c r="AD11" s="74"/>
      <c r="AE11" s="72"/>
      <c r="AF11" s="75"/>
      <c r="AG11" s="36"/>
      <c r="AH11" s="74"/>
      <c r="AI11" s="72"/>
      <c r="AJ11" s="18"/>
      <c r="AK11" s="37"/>
      <c r="AL11" s="74"/>
      <c r="AM11" s="72"/>
      <c r="AN11" s="74"/>
      <c r="AO11" s="72"/>
      <c r="AP11" s="74">
        <v>280002.55</v>
      </c>
      <c r="AQ11" s="72">
        <v>163242.84</v>
      </c>
      <c r="AR11" s="74"/>
      <c r="AS11" s="72"/>
      <c r="AT11" s="18"/>
      <c r="AU11" s="37"/>
      <c r="AV11" s="20"/>
      <c r="AW11" s="65"/>
    </row>
    <row r="12" spans="1:55" ht="12.5">
      <c r="A12" s="27" t="s">
        <v>9</v>
      </c>
      <c r="B12" s="17">
        <v>8</v>
      </c>
      <c r="C12" s="124">
        <v>8.7785014797193486E-3</v>
      </c>
      <c r="D12" s="159">
        <v>287713.12193747325</v>
      </c>
      <c r="E12" s="159">
        <v>281357.94231335819</v>
      </c>
      <c r="F12" s="131">
        <f>C12*Allocations!$B$6</f>
        <v>290717.63350386568</v>
      </c>
      <c r="G12" s="136">
        <f t="shared" si="0"/>
        <v>859788.69775469718</v>
      </c>
      <c r="H12" s="88">
        <f t="shared" si="1"/>
        <v>286596.23258489906</v>
      </c>
      <c r="I12" s="141">
        <v>462236.20989125635</v>
      </c>
      <c r="J12" s="142">
        <f t="shared" si="6"/>
        <v>752953.84339512209</v>
      </c>
      <c r="K12" s="155">
        <f t="shared" si="9"/>
        <v>0</v>
      </c>
      <c r="L12" s="155">
        <f t="shared" si="10"/>
        <v>0</v>
      </c>
      <c r="M12" s="155">
        <f t="shared" si="11"/>
        <v>752953.84339512209</v>
      </c>
      <c r="N12" s="175">
        <f t="shared" si="2"/>
        <v>2.6272286854715472</v>
      </c>
      <c r="O12" s="180">
        <f t="shared" si="7"/>
        <v>2497259.644418316</v>
      </c>
      <c r="P12" s="51"/>
      <c r="Q12" s="21"/>
      <c r="R12" s="21"/>
      <c r="S12" s="21"/>
      <c r="T12" s="118">
        <f t="shared" si="3"/>
        <v>0</v>
      </c>
      <c r="U12" s="57">
        <f t="shared" si="4"/>
        <v>290717.63350386568</v>
      </c>
      <c r="V12" s="56">
        <f t="shared" si="5"/>
        <v>8.8254186084391079E-3</v>
      </c>
      <c r="W12" s="51">
        <f t="shared" si="12"/>
        <v>663.02589998341364</v>
      </c>
      <c r="X12" s="37">
        <f>C12*Allocations!$B$9</f>
        <v>290717.63350386568</v>
      </c>
      <c r="Y12" s="54">
        <f t="shared" si="8"/>
        <v>753616.86929510545</v>
      </c>
      <c r="Z12" s="40"/>
      <c r="AA12" s="37"/>
      <c r="AB12" s="40"/>
      <c r="AC12" s="37"/>
      <c r="AD12" s="74"/>
      <c r="AE12" s="72"/>
      <c r="AF12" s="75"/>
      <c r="AG12" s="36"/>
      <c r="AH12" s="74"/>
      <c r="AI12" s="72"/>
      <c r="AJ12" s="18"/>
      <c r="AK12" s="37"/>
      <c r="AL12" s="74"/>
      <c r="AM12" s="72"/>
      <c r="AN12" s="74"/>
      <c r="AO12" s="72"/>
      <c r="AP12" s="74"/>
      <c r="AQ12" s="72"/>
      <c r="AR12" s="18"/>
      <c r="AS12" s="37"/>
      <c r="AT12" s="74"/>
      <c r="AU12" s="72"/>
      <c r="AV12" s="91"/>
      <c r="AW12" s="92"/>
      <c r="AX12" s="96"/>
    </row>
    <row r="13" spans="1:55" ht="12.5">
      <c r="A13" s="27" t="s">
        <v>10</v>
      </c>
      <c r="B13" s="17">
        <v>9</v>
      </c>
      <c r="C13" s="124">
        <v>1.2711332485931745E-2</v>
      </c>
      <c r="D13" s="159">
        <v>387169.46152537595</v>
      </c>
      <c r="E13" s="159">
        <v>390627.25272026082</v>
      </c>
      <c r="F13" s="131">
        <f>C13*Allocations!$B$6</f>
        <v>420961.19793660159</v>
      </c>
      <c r="G13" s="136">
        <f t="shared" si="0"/>
        <v>1198757.9121822384</v>
      </c>
      <c r="H13" s="88">
        <f t="shared" si="1"/>
        <v>399585.97072741279</v>
      </c>
      <c r="I13" s="141">
        <v>917971.00258555333</v>
      </c>
      <c r="J13" s="142">
        <f t="shared" si="6"/>
        <v>1338932.200522155</v>
      </c>
      <c r="K13" s="155">
        <f t="shared" si="9"/>
        <v>0</v>
      </c>
      <c r="L13" s="155">
        <f t="shared" si="10"/>
        <v>0</v>
      </c>
      <c r="M13" s="155">
        <f t="shared" si="11"/>
        <v>1338932.200522155</v>
      </c>
      <c r="N13" s="175">
        <f t="shared" si="2"/>
        <v>3.3507988233038839</v>
      </c>
      <c r="O13" s="180">
        <f t="shared" si="7"/>
        <v>3864699.3881417648</v>
      </c>
      <c r="P13" s="51"/>
      <c r="Q13" s="21"/>
      <c r="R13" s="21">
        <v>406044</v>
      </c>
      <c r="S13" s="21">
        <f>R13*0.8</f>
        <v>324835.20000000001</v>
      </c>
      <c r="T13" s="118">
        <f t="shared" si="3"/>
        <v>0</v>
      </c>
      <c r="U13" s="57">
        <f t="shared" si="4"/>
        <v>420961.19793660159</v>
      </c>
      <c r="V13" s="56">
        <f t="shared" si="5"/>
        <v>1.2779268821514748E-2</v>
      </c>
      <c r="W13" s="51">
        <f t="shared" si="12"/>
        <v>960.06621186361531</v>
      </c>
      <c r="X13" s="37">
        <f>C13*Allocations!$B$9</f>
        <v>420961.19793660159</v>
      </c>
      <c r="Y13" s="54">
        <f t="shared" si="8"/>
        <v>1339892.2667340185</v>
      </c>
      <c r="Z13" s="40"/>
      <c r="AA13" s="37"/>
      <c r="AB13" s="84"/>
      <c r="AC13" s="72"/>
      <c r="AD13" s="74"/>
      <c r="AE13" s="72"/>
      <c r="AF13" s="75"/>
      <c r="AG13" s="36"/>
      <c r="AH13" s="74"/>
      <c r="AI13" s="72"/>
      <c r="AJ13" s="18"/>
      <c r="AK13" s="37"/>
      <c r="AL13" s="74"/>
      <c r="AM13" s="72"/>
      <c r="AN13" s="18"/>
      <c r="AO13" s="37"/>
      <c r="AP13" s="74"/>
      <c r="AQ13" s="72"/>
      <c r="AR13" s="18"/>
      <c r="AS13" s="37"/>
      <c r="AT13" s="18"/>
      <c r="AU13" s="37"/>
      <c r="AV13" s="20"/>
      <c r="AW13" s="65"/>
    </row>
    <row r="14" spans="1:55" ht="12.5">
      <c r="A14" s="22" t="s">
        <v>11</v>
      </c>
      <c r="B14" s="23">
        <v>10</v>
      </c>
      <c r="C14" s="125">
        <v>1.05714046630353E-2</v>
      </c>
      <c r="D14" s="160">
        <v>384490.82718044572</v>
      </c>
      <c r="E14" s="160">
        <v>376560.21306449798</v>
      </c>
      <c r="F14" s="132">
        <f>C14*Allocations!$B$6</f>
        <v>350093.20822574</v>
      </c>
      <c r="G14" s="137">
        <f t="shared" si="0"/>
        <v>1111144.2484706836</v>
      </c>
      <c r="H14" s="111">
        <f t="shared" si="1"/>
        <v>370381.41615689453</v>
      </c>
      <c r="I14" s="143">
        <v>17246.3429133881</v>
      </c>
      <c r="J14" s="144">
        <f t="shared" si="6"/>
        <v>367339.5511391281</v>
      </c>
      <c r="K14" s="156">
        <f t="shared" si="9"/>
        <v>292434.62</v>
      </c>
      <c r="L14" s="156">
        <f t="shared" si="10"/>
        <v>233947.7</v>
      </c>
      <c r="M14" s="156">
        <f t="shared" si="11"/>
        <v>133391.85113912809</v>
      </c>
      <c r="N14" s="176">
        <f t="shared" si="2"/>
        <v>0.36014725717940166</v>
      </c>
      <c r="O14" s="181">
        <f t="shared" si="7"/>
        <v>2233951.100493568</v>
      </c>
      <c r="P14" s="52"/>
      <c r="Q14" s="25"/>
      <c r="R14" s="25"/>
      <c r="S14" s="25"/>
      <c r="T14" s="119">
        <f t="shared" si="3"/>
        <v>0</v>
      </c>
      <c r="U14" s="58">
        <f t="shared" si="4"/>
        <v>350093.20822574</v>
      </c>
      <c r="V14" s="59">
        <f t="shared" si="5"/>
        <v>1.0627904050142556E-2</v>
      </c>
      <c r="W14" s="52">
        <f t="shared" si="12"/>
        <v>798.44095338945226</v>
      </c>
      <c r="X14" s="38">
        <f>C14*Allocations!$B$9</f>
        <v>350093.20822574</v>
      </c>
      <c r="Y14" s="83">
        <f t="shared" si="8"/>
        <v>134190.29209251754</v>
      </c>
      <c r="Z14" s="41"/>
      <c r="AA14" s="38"/>
      <c r="AB14" s="41"/>
      <c r="AC14" s="38"/>
      <c r="AD14" s="79"/>
      <c r="AE14" s="73"/>
      <c r="AF14" s="76"/>
      <c r="AG14" s="77"/>
      <c r="AH14" s="79"/>
      <c r="AI14" s="73"/>
      <c r="AJ14" s="79"/>
      <c r="AK14" s="73"/>
      <c r="AL14" s="79"/>
      <c r="AM14" s="73"/>
      <c r="AN14" s="79">
        <v>292434.62</v>
      </c>
      <c r="AO14" s="73">
        <v>233947.7</v>
      </c>
      <c r="AP14" s="79"/>
      <c r="AQ14" s="73"/>
      <c r="AR14" s="26"/>
      <c r="AS14" s="38"/>
      <c r="AT14" s="79"/>
      <c r="AU14" s="73"/>
      <c r="AV14" s="24"/>
      <c r="AW14" s="66"/>
    </row>
    <row r="15" spans="1:55" ht="12.5">
      <c r="A15" s="27" t="s">
        <v>12</v>
      </c>
      <c r="B15" s="17">
        <v>11</v>
      </c>
      <c r="C15" s="124">
        <v>5.1229887803328246E-3</v>
      </c>
      <c r="D15" s="159">
        <v>174920.59824472931</v>
      </c>
      <c r="E15" s="159">
        <v>168292.00080946719</v>
      </c>
      <c r="F15" s="131">
        <f>C15*Allocations!$B$6</f>
        <v>169658.01943828215</v>
      </c>
      <c r="G15" s="136">
        <f t="shared" si="0"/>
        <v>512870.61849247862</v>
      </c>
      <c r="H15" s="88">
        <f t="shared" si="1"/>
        <v>170956.87283082621</v>
      </c>
      <c r="I15" s="141">
        <v>-7824.3444665535935</v>
      </c>
      <c r="J15" s="142">
        <f t="shared" si="6"/>
        <v>161833.67497172856</v>
      </c>
      <c r="K15" s="155">
        <f t="shared" si="9"/>
        <v>656147.1</v>
      </c>
      <c r="L15" s="155">
        <f t="shared" si="10"/>
        <v>524917.67000000004</v>
      </c>
      <c r="M15" s="155">
        <f t="shared" si="11"/>
        <v>-363083.99502827146</v>
      </c>
      <c r="N15" s="175">
        <f t="shared" si="2"/>
        <v>-2.1238338594761763</v>
      </c>
      <c r="O15" s="180">
        <f t="shared" si="7"/>
        <v>654864.1216014215</v>
      </c>
      <c r="P15" s="51"/>
      <c r="Q15" s="21"/>
      <c r="R15" s="21"/>
      <c r="S15" s="21"/>
      <c r="T15" s="118">
        <f t="shared" si="3"/>
        <v>0</v>
      </c>
      <c r="U15" s="57">
        <f t="shared" si="4"/>
        <v>169658.01943828215</v>
      </c>
      <c r="V15" s="56">
        <f t="shared" si="5"/>
        <v>5.1503688433870987E-3</v>
      </c>
      <c r="W15" s="51">
        <f t="shared" si="12"/>
        <v>386.93098754181608</v>
      </c>
      <c r="X15" s="37">
        <f>C15*Allocations!$B$9</f>
        <v>169658.01943828215</v>
      </c>
      <c r="Y15" s="54">
        <f t="shared" si="8"/>
        <v>-362697.06404072978</v>
      </c>
      <c r="Z15" s="40"/>
      <c r="AA15" s="37"/>
      <c r="AB15" s="40"/>
      <c r="AC15" s="37"/>
      <c r="AD15" s="74"/>
      <c r="AE15" s="72"/>
      <c r="AF15" s="74">
        <v>656147.1</v>
      </c>
      <c r="AG15" s="72">
        <v>524917.67000000004</v>
      </c>
      <c r="AH15" s="74"/>
      <c r="AI15" s="72"/>
      <c r="AJ15" s="18"/>
      <c r="AK15" s="37"/>
      <c r="AL15" s="74"/>
      <c r="AM15" s="72"/>
      <c r="AN15" s="18"/>
      <c r="AO15" s="37"/>
      <c r="AP15" s="74"/>
      <c r="AQ15" s="72"/>
      <c r="AR15" s="18"/>
      <c r="AS15" s="37"/>
      <c r="AT15" s="18"/>
      <c r="AU15" s="37"/>
      <c r="AV15" s="20"/>
      <c r="AW15" s="65"/>
    </row>
    <row r="16" spans="1:55" ht="12.5">
      <c r="A16" s="27" t="s">
        <v>13</v>
      </c>
      <c r="B16" s="17">
        <v>12</v>
      </c>
      <c r="C16" s="124">
        <v>1.3758196721155873E-2</v>
      </c>
      <c r="D16" s="159">
        <v>518554.83347493393</v>
      </c>
      <c r="E16" s="159">
        <v>494029.40261290543</v>
      </c>
      <c r="F16" s="131">
        <f>C16*Allocations!$B$6</f>
        <v>455630.20081451908</v>
      </c>
      <c r="G16" s="136">
        <f t="shared" si="0"/>
        <v>1468214.4369023584</v>
      </c>
      <c r="H16" s="88">
        <f t="shared" si="1"/>
        <v>489404.81230078614</v>
      </c>
      <c r="I16" s="141">
        <v>131827.28378357552</v>
      </c>
      <c r="J16" s="142">
        <f t="shared" si="6"/>
        <v>587457.4845980946</v>
      </c>
      <c r="K16" s="155">
        <f t="shared" si="9"/>
        <v>1024549.6499999999</v>
      </c>
      <c r="L16" s="155">
        <f t="shared" si="10"/>
        <v>819639.72</v>
      </c>
      <c r="M16" s="155">
        <f t="shared" si="11"/>
        <v>-232182.23540190537</v>
      </c>
      <c r="N16" s="175">
        <f t="shared" si="2"/>
        <v>-0.47441755693077892</v>
      </c>
      <c r="O16" s="180">
        <f t="shared" si="7"/>
        <v>2501598.9694852093</v>
      </c>
      <c r="P16" s="51"/>
      <c r="Q16" s="21"/>
      <c r="R16" s="21"/>
      <c r="S16" s="21"/>
      <c r="T16" s="118">
        <f t="shared" si="3"/>
        <v>0</v>
      </c>
      <c r="U16" s="57">
        <f t="shared" si="4"/>
        <v>455630.20081451908</v>
      </c>
      <c r="V16" s="56">
        <f t="shared" si="5"/>
        <v>1.383172807363209E-2</v>
      </c>
      <c r="W16" s="51">
        <f t="shared" si="12"/>
        <v>1039.134160228547</v>
      </c>
      <c r="X16" s="37">
        <f>C16*Allocations!$B$9</f>
        <v>455630.20081451908</v>
      </c>
      <c r="Y16" s="54">
        <f t="shared" si="8"/>
        <v>-231143.10124167684</v>
      </c>
      <c r="Z16" s="40"/>
      <c r="AA16" s="37"/>
      <c r="AB16" s="84"/>
      <c r="AC16" s="72"/>
      <c r="AD16" s="74"/>
      <c r="AE16" s="72"/>
      <c r="AF16" s="74">
        <v>461511.2</v>
      </c>
      <c r="AG16" s="72">
        <v>369208.96</v>
      </c>
      <c r="AH16" s="74"/>
      <c r="AI16" s="72"/>
      <c r="AJ16" s="18"/>
      <c r="AK16" s="37"/>
      <c r="AL16" s="74">
        <v>563038.44999999995</v>
      </c>
      <c r="AM16" s="72">
        <v>450430.76</v>
      </c>
      <c r="AN16" s="18"/>
      <c r="AO16" s="37"/>
      <c r="AP16" s="74"/>
      <c r="AQ16" s="72"/>
      <c r="AR16" s="18"/>
      <c r="AS16" s="37"/>
      <c r="AT16" s="18"/>
      <c r="AU16" s="37"/>
      <c r="AV16" s="20"/>
      <c r="AW16" s="65"/>
    </row>
    <row r="17" spans="1:50" ht="12.5">
      <c r="A17" s="27" t="s">
        <v>14</v>
      </c>
      <c r="B17" s="17">
        <v>13</v>
      </c>
      <c r="C17" s="124">
        <v>5.3161363558318683E-3</v>
      </c>
      <c r="D17" s="159">
        <v>137149.03142354256</v>
      </c>
      <c r="E17" s="159">
        <v>175866.63861991777</v>
      </c>
      <c r="F17" s="131">
        <f>C17*Allocations!$B$6</f>
        <v>176054.48769608399</v>
      </c>
      <c r="G17" s="136">
        <f t="shared" si="0"/>
        <v>489070.15773954429</v>
      </c>
      <c r="H17" s="88">
        <f t="shared" si="1"/>
        <v>163023.38591318144</v>
      </c>
      <c r="I17" s="141">
        <v>584409.32597562275</v>
      </c>
      <c r="J17" s="142">
        <f>F17+I17</f>
        <v>760463.81367170671</v>
      </c>
      <c r="K17" s="155">
        <f t="shared" si="9"/>
        <v>0</v>
      </c>
      <c r="L17" s="155">
        <f t="shared" si="10"/>
        <v>0</v>
      </c>
      <c r="M17" s="155">
        <f>J17-L17</f>
        <v>760463.81367170671</v>
      </c>
      <c r="N17" s="175">
        <f t="shared" si="2"/>
        <v>4.6647529089887376</v>
      </c>
      <c r="O17" s="180">
        <f t="shared" si="7"/>
        <v>1816790.7398482107</v>
      </c>
      <c r="P17" s="51"/>
      <c r="Q17" s="21"/>
      <c r="R17" s="21">
        <v>245333.5</v>
      </c>
      <c r="S17" s="21">
        <f>R17*0.8</f>
        <v>196266.80000000002</v>
      </c>
      <c r="T17" s="118">
        <v>75126.850000000006</v>
      </c>
      <c r="U17" s="57">
        <f t="shared" si="4"/>
        <v>0</v>
      </c>
      <c r="V17" s="56">
        <f t="shared" si="5"/>
        <v>0</v>
      </c>
      <c r="W17" s="51">
        <f t="shared" si="12"/>
        <v>0</v>
      </c>
      <c r="X17" s="37">
        <f>C17*Allocations!$B$9</f>
        <v>176054.48769608399</v>
      </c>
      <c r="Y17" s="54">
        <f t="shared" si="8"/>
        <v>685336.96367170673</v>
      </c>
      <c r="Z17" s="40"/>
      <c r="AA17" s="37"/>
      <c r="AB17" s="84"/>
      <c r="AC17" s="72"/>
      <c r="AD17" s="74"/>
      <c r="AE17" s="72"/>
      <c r="AF17" s="75"/>
      <c r="AG17" s="36"/>
      <c r="AH17" s="74"/>
      <c r="AI17" s="72"/>
      <c r="AJ17" s="18"/>
      <c r="AK17" s="37"/>
      <c r="AL17" s="74"/>
      <c r="AM17" s="72"/>
      <c r="AN17" s="18"/>
      <c r="AO17" s="37"/>
      <c r="AP17" s="74"/>
      <c r="AQ17" s="72"/>
      <c r="AR17" s="74"/>
      <c r="AS17" s="72"/>
      <c r="AT17" s="18"/>
      <c r="AU17" s="37"/>
      <c r="AV17" s="20"/>
      <c r="AW17" s="65"/>
    </row>
    <row r="18" spans="1:50" ht="12.5">
      <c r="A18" s="27" t="s">
        <v>15</v>
      </c>
      <c r="B18" s="17">
        <v>14</v>
      </c>
      <c r="C18" s="124">
        <v>6.3537395414501249E-3</v>
      </c>
      <c r="D18" s="159">
        <v>239267.12129552831</v>
      </c>
      <c r="E18" s="159">
        <v>214628.65868473178</v>
      </c>
      <c r="F18" s="131">
        <f>C18*Allocations!$B$6</f>
        <v>210416.79239420377</v>
      </c>
      <c r="G18" s="136">
        <f t="shared" si="0"/>
        <v>664312.57237446378</v>
      </c>
      <c r="H18" s="88">
        <f t="shared" si="1"/>
        <v>221437.52412482127</v>
      </c>
      <c r="I18" s="141">
        <v>25972.113612092857</v>
      </c>
      <c r="J18" s="142">
        <f t="shared" si="6"/>
        <v>236388.90600629663</v>
      </c>
      <c r="K18" s="155">
        <f t="shared" si="9"/>
        <v>583395.15</v>
      </c>
      <c r="L18" s="155">
        <f t="shared" si="10"/>
        <v>466716.1</v>
      </c>
      <c r="M18" s="155">
        <f t="shared" si="11"/>
        <v>-230327.19399370335</v>
      </c>
      <c r="N18" s="175">
        <f t="shared" si="2"/>
        <v>-1.0401452730471783</v>
      </c>
      <c r="O18" s="180">
        <f t="shared" si="7"/>
        <v>1032173.5603715192</v>
      </c>
      <c r="P18" s="51"/>
      <c r="Q18" s="21"/>
      <c r="R18" s="21"/>
      <c r="S18" s="21"/>
      <c r="T18" s="118">
        <f t="shared" si="3"/>
        <v>0</v>
      </c>
      <c r="U18" s="57">
        <f t="shared" si="4"/>
        <v>210416.79239420377</v>
      </c>
      <c r="V18" s="56">
        <f t="shared" si="5"/>
        <v>6.3876974118915342E-3</v>
      </c>
      <c r="W18" s="51">
        <f t="shared" si="12"/>
        <v>479.88758530856353</v>
      </c>
      <c r="X18" s="37">
        <f>C18*Allocations!$B$9</f>
        <v>210416.79239420377</v>
      </c>
      <c r="Y18" s="54">
        <f t="shared" si="8"/>
        <v>-229847.30640839477</v>
      </c>
      <c r="Z18" s="40"/>
      <c r="AA18" s="37"/>
      <c r="AB18" s="84">
        <v>319791.65000000002</v>
      </c>
      <c r="AC18" s="72">
        <v>255833.3</v>
      </c>
      <c r="AD18" s="74"/>
      <c r="AE18" s="72"/>
      <c r="AF18" s="75"/>
      <c r="AG18" s="36"/>
      <c r="AH18" s="74">
        <v>263603.5</v>
      </c>
      <c r="AI18" s="72">
        <v>210882.8</v>
      </c>
      <c r="AJ18" s="74"/>
      <c r="AK18" s="72"/>
      <c r="AL18" s="74"/>
      <c r="AM18" s="72"/>
      <c r="AN18" s="74"/>
      <c r="AO18" s="72"/>
      <c r="AP18" s="74"/>
      <c r="AQ18" s="72"/>
      <c r="AR18" s="18"/>
      <c r="AS18" s="37"/>
      <c r="AT18" s="74"/>
      <c r="AU18" s="72"/>
      <c r="AV18" s="20"/>
      <c r="AW18" s="65"/>
    </row>
    <row r="19" spans="1:50" ht="12.5">
      <c r="A19" s="22" t="s">
        <v>16</v>
      </c>
      <c r="B19" s="23">
        <v>15</v>
      </c>
      <c r="C19" s="125">
        <v>1.5304350271575904E-2</v>
      </c>
      <c r="D19" s="160">
        <v>502112.21078719362</v>
      </c>
      <c r="E19" s="160">
        <v>482220.24994492967</v>
      </c>
      <c r="F19" s="132">
        <f>C19*Allocations!$B$6</f>
        <v>506834.1679437792</v>
      </c>
      <c r="G19" s="137">
        <f t="shared" si="0"/>
        <v>1491166.6286759025</v>
      </c>
      <c r="H19" s="111">
        <f t="shared" si="1"/>
        <v>497055.54289196752</v>
      </c>
      <c r="I19" s="143">
        <v>438940.64350235637</v>
      </c>
      <c r="J19" s="144">
        <f t="shared" si="6"/>
        <v>945774.81144613563</v>
      </c>
      <c r="K19" s="156">
        <f t="shared" si="9"/>
        <v>2091456.21</v>
      </c>
      <c r="L19" s="156">
        <f t="shared" si="10"/>
        <v>1499951.6600000001</v>
      </c>
      <c r="M19" s="156">
        <f t="shared" si="11"/>
        <v>-554176.84855386452</v>
      </c>
      <c r="N19" s="176">
        <f>M19/H19</f>
        <v>-1.1149193615859385</v>
      </c>
      <c r="O19" s="181">
        <f t="shared" si="7"/>
        <v>2486828.1591088111</v>
      </c>
      <c r="P19" s="52"/>
      <c r="Q19" s="25"/>
      <c r="R19" s="25"/>
      <c r="S19" s="25"/>
      <c r="T19" s="119">
        <f t="shared" si="3"/>
        <v>0</v>
      </c>
      <c r="U19" s="58">
        <f t="shared" si="4"/>
        <v>506834.1679437792</v>
      </c>
      <c r="V19" s="59">
        <f t="shared" si="5"/>
        <v>1.5386145117008539E-2</v>
      </c>
      <c r="W19" s="52">
        <f t="shared" si="12"/>
        <v>1155.9126162837331</v>
      </c>
      <c r="X19" s="38">
        <f>C19*Allocations!$B$9</f>
        <v>506834.1679437792</v>
      </c>
      <c r="Y19" s="83">
        <f t="shared" si="8"/>
        <v>-553020.93593758089</v>
      </c>
      <c r="Z19" s="41"/>
      <c r="AA19" s="38"/>
      <c r="AB19" s="41"/>
      <c r="AC19" s="38"/>
      <c r="AD19" s="168">
        <v>992732.73</v>
      </c>
      <c r="AE19" s="169">
        <v>620972.88</v>
      </c>
      <c r="AF19" s="76"/>
      <c r="AG19" s="77"/>
      <c r="AH19" s="79"/>
      <c r="AI19" s="73"/>
      <c r="AJ19" s="79"/>
      <c r="AK19" s="73"/>
      <c r="AL19" s="79"/>
      <c r="AM19" s="73"/>
      <c r="AN19" s="26"/>
      <c r="AO19" s="38"/>
      <c r="AP19" s="79"/>
      <c r="AQ19" s="73"/>
      <c r="AR19" s="26">
        <v>1098723.48</v>
      </c>
      <c r="AS19" s="38">
        <v>878978.78</v>
      </c>
      <c r="AT19" s="26"/>
      <c r="AU19" s="38"/>
      <c r="AV19" s="152"/>
      <c r="AW19" s="153"/>
      <c r="AX19" s="170" t="s">
        <v>151</v>
      </c>
    </row>
    <row r="20" spans="1:50" ht="12.5">
      <c r="A20" s="27" t="s">
        <v>17</v>
      </c>
      <c r="B20" s="17">
        <v>16</v>
      </c>
      <c r="C20" s="124">
        <v>1.6965973708747379E-2</v>
      </c>
      <c r="D20" s="159">
        <v>546484.66064153926</v>
      </c>
      <c r="E20" s="159">
        <v>560261.84289122198</v>
      </c>
      <c r="F20" s="131">
        <f>C20*Allocations!$B$6</f>
        <v>561862.15131258697</v>
      </c>
      <c r="G20" s="136">
        <f t="shared" si="0"/>
        <v>1668608.6548453481</v>
      </c>
      <c r="H20" s="88">
        <f t="shared" si="1"/>
        <v>556202.88494844933</v>
      </c>
      <c r="I20" s="141">
        <v>517056.29491035297</v>
      </c>
      <c r="J20" s="142">
        <f t="shared" si="6"/>
        <v>1078918.44622294</v>
      </c>
      <c r="K20" s="155">
        <f t="shared" si="9"/>
        <v>1165694.68</v>
      </c>
      <c r="L20" s="155">
        <f t="shared" si="10"/>
        <v>932555.7</v>
      </c>
      <c r="M20" s="155">
        <f t="shared" si="11"/>
        <v>146362.74622294004</v>
      </c>
      <c r="N20" s="175">
        <f t="shared" si="2"/>
        <v>0.26314632696755141</v>
      </c>
      <c r="O20" s="180">
        <f t="shared" si="7"/>
        <v>3517535.6540984623</v>
      </c>
      <c r="P20" s="51"/>
      <c r="Q20" s="21"/>
      <c r="R20" s="21"/>
      <c r="S20" s="21"/>
      <c r="T20" s="118">
        <f t="shared" si="3"/>
        <v>0</v>
      </c>
      <c r="U20" s="57">
        <f t="shared" si="4"/>
        <v>561862.15131258697</v>
      </c>
      <c r="V20" s="56">
        <f t="shared" si="5"/>
        <v>1.7056649181570196E-2</v>
      </c>
      <c r="W20" s="51">
        <f t="shared" si="12"/>
        <v>1281.4123245664471</v>
      </c>
      <c r="X20" s="37">
        <f>C20*Allocations!$B$9</f>
        <v>561862.15131258697</v>
      </c>
      <c r="Y20" s="54">
        <f t="shared" si="8"/>
        <v>147644.15854750643</v>
      </c>
      <c r="Z20" s="40"/>
      <c r="AA20" s="37"/>
      <c r="AB20" s="84">
        <v>1165694.68</v>
      </c>
      <c r="AC20" s="72">
        <v>932555.7</v>
      </c>
      <c r="AD20" s="74"/>
      <c r="AE20" s="72"/>
      <c r="AF20" s="74"/>
      <c r="AG20" s="72"/>
      <c r="AH20" s="74"/>
      <c r="AI20" s="72"/>
      <c r="AJ20" s="74"/>
      <c r="AK20" s="72"/>
      <c r="AL20" s="74"/>
      <c r="AM20" s="72"/>
      <c r="AN20" s="18"/>
      <c r="AO20" s="37"/>
      <c r="AP20" s="74"/>
      <c r="AQ20" s="72"/>
      <c r="AR20" s="18"/>
      <c r="AS20" s="37"/>
      <c r="AT20" s="18"/>
      <c r="AU20" s="37"/>
      <c r="AV20" s="20"/>
      <c r="AW20" s="65"/>
      <c r="AX20" s="96"/>
    </row>
    <row r="21" spans="1:50" ht="12.5">
      <c r="A21" s="27" t="s">
        <v>18</v>
      </c>
      <c r="B21" s="17">
        <v>17</v>
      </c>
      <c r="C21" s="124">
        <v>6.7194204840659898E-3</v>
      </c>
      <c r="D21" s="159">
        <v>216434.93173647637</v>
      </c>
      <c r="E21" s="159">
        <v>216956.56859441314</v>
      </c>
      <c r="F21" s="131">
        <f>C21*Allocations!$B$6</f>
        <v>222527.04817081339</v>
      </c>
      <c r="G21" s="136">
        <f t="shared" si="0"/>
        <v>655918.54850170284</v>
      </c>
      <c r="H21" s="88">
        <f t="shared" si="1"/>
        <v>218639.51616723428</v>
      </c>
      <c r="I21" s="141">
        <v>30407.128591401153</v>
      </c>
      <c r="J21" s="142">
        <f t="shared" si="6"/>
        <v>252934.17676221454</v>
      </c>
      <c r="K21" s="155">
        <f t="shared" si="9"/>
        <v>263835.7</v>
      </c>
      <c r="L21" s="155">
        <f t="shared" si="10"/>
        <v>211068.56</v>
      </c>
      <c r="M21" s="155">
        <f t="shared" si="11"/>
        <v>41865.616762214544</v>
      </c>
      <c r="N21" s="175">
        <f t="shared" si="2"/>
        <v>0.19148238843609644</v>
      </c>
      <c r="O21" s="180">
        <f t="shared" si="7"/>
        <v>1377027.905787095</v>
      </c>
      <c r="P21" s="51"/>
      <c r="Q21" s="21"/>
      <c r="R21" s="21"/>
      <c r="S21" s="21"/>
      <c r="T21" s="118">
        <f t="shared" si="3"/>
        <v>0</v>
      </c>
      <c r="U21" s="57">
        <f t="shared" si="4"/>
        <v>222527.04817081339</v>
      </c>
      <c r="V21" s="56">
        <f t="shared" si="5"/>
        <v>6.7553327541158871E-3</v>
      </c>
      <c r="W21" s="51">
        <f t="shared" si="12"/>
        <v>507.50687051855118</v>
      </c>
      <c r="X21" s="37">
        <f>C21*Allocations!$B$9</f>
        <v>222527.04817081339</v>
      </c>
      <c r="Y21" s="54">
        <f t="shared" si="8"/>
        <v>42373.123632733099</v>
      </c>
      <c r="Z21" s="40"/>
      <c r="AA21" s="37"/>
      <c r="AB21" s="84"/>
      <c r="AC21" s="72"/>
      <c r="AD21" s="99"/>
      <c r="AE21" s="92"/>
      <c r="AF21" s="75"/>
      <c r="AG21" s="36"/>
      <c r="AH21" s="74">
        <v>263835.7</v>
      </c>
      <c r="AI21" s="72">
        <v>211068.56</v>
      </c>
      <c r="AJ21" s="87"/>
      <c r="AK21" s="88"/>
      <c r="AL21" s="74"/>
      <c r="AM21" s="72"/>
      <c r="AN21" s="18"/>
      <c r="AO21" s="37"/>
      <c r="AP21" s="74"/>
      <c r="AQ21" s="72"/>
      <c r="AR21" s="18"/>
      <c r="AS21" s="37"/>
      <c r="AT21" s="18"/>
      <c r="AU21" s="37"/>
      <c r="AV21" s="91"/>
      <c r="AW21" s="92"/>
      <c r="AX21" s="96"/>
    </row>
    <row r="22" spans="1:50" ht="12.5">
      <c r="A22" s="27" t="s">
        <v>19</v>
      </c>
      <c r="B22" s="17">
        <v>18</v>
      </c>
      <c r="C22" s="124">
        <v>1.2108835756398933E-2</v>
      </c>
      <c r="D22" s="159">
        <v>357624.39952249103</v>
      </c>
      <c r="E22" s="159">
        <v>407528.93228650384</v>
      </c>
      <c r="F22" s="131">
        <f>C22*Allocations!$B$6</f>
        <v>401008.31374466349</v>
      </c>
      <c r="G22" s="136">
        <f t="shared" si="0"/>
        <v>1166161.6455536583</v>
      </c>
      <c r="H22" s="88">
        <f t="shared" si="1"/>
        <v>388720.54851788608</v>
      </c>
      <c r="I22" s="141">
        <v>714099.60483577289</v>
      </c>
      <c r="J22" s="142">
        <f t="shared" si="6"/>
        <v>1115107.9185804364</v>
      </c>
      <c r="K22" s="155">
        <f t="shared" si="9"/>
        <v>344102.5</v>
      </c>
      <c r="L22" s="155">
        <f t="shared" si="10"/>
        <v>275282</v>
      </c>
      <c r="M22" s="155">
        <f t="shared" si="11"/>
        <v>839825.91858043638</v>
      </c>
      <c r="N22" s="175">
        <f t="shared" si="2"/>
        <v>2.1604875836446649</v>
      </c>
      <c r="O22" s="180">
        <f t="shared" si="7"/>
        <v>3245875.8010484176</v>
      </c>
      <c r="P22" s="51"/>
      <c r="Q22" s="21"/>
      <c r="R22" s="21"/>
      <c r="S22" s="21"/>
      <c r="T22" s="118">
        <f t="shared" si="3"/>
        <v>0</v>
      </c>
      <c r="U22" s="57">
        <f t="shared" si="4"/>
        <v>401008.31374466349</v>
      </c>
      <c r="V22" s="56">
        <f t="shared" si="5"/>
        <v>1.2173552018866038E-2</v>
      </c>
      <c r="W22" s="51">
        <f t="shared" si="12"/>
        <v>914.56061648854609</v>
      </c>
      <c r="X22" s="37">
        <f>C22*Allocations!$B$9</f>
        <v>401008.31374466349</v>
      </c>
      <c r="Y22" s="54">
        <f t="shared" si="8"/>
        <v>840740.47919692495</v>
      </c>
      <c r="Z22" s="40"/>
      <c r="AA22" s="37"/>
      <c r="AB22" s="84"/>
      <c r="AC22" s="72"/>
      <c r="AD22" s="87"/>
      <c r="AE22" s="88"/>
      <c r="AF22" s="171">
        <v>344102.5</v>
      </c>
      <c r="AG22" s="172">
        <v>275282</v>
      </c>
      <c r="AH22" s="74"/>
      <c r="AI22" s="128"/>
      <c r="AJ22" s="18"/>
      <c r="AK22" s="37"/>
      <c r="AL22" s="74"/>
      <c r="AM22" s="72"/>
      <c r="AN22" s="18"/>
      <c r="AO22" s="37"/>
      <c r="AP22" s="74"/>
      <c r="AQ22" s="72"/>
      <c r="AR22" s="74"/>
      <c r="AS22" s="72"/>
      <c r="AT22" s="18"/>
      <c r="AU22" s="37"/>
      <c r="AV22" s="20"/>
      <c r="AW22" s="65"/>
      <c r="AX22" s="96"/>
    </row>
    <row r="23" spans="1:50" ht="12.5">
      <c r="A23" s="27" t="s">
        <v>20</v>
      </c>
      <c r="B23" s="17">
        <v>19</v>
      </c>
      <c r="C23" s="124">
        <v>1.1430195174512305E-2</v>
      </c>
      <c r="D23" s="159">
        <v>329786.86789878726</v>
      </c>
      <c r="E23" s="159">
        <v>352285.27090414864</v>
      </c>
      <c r="F23" s="131">
        <f>C23*Allocations!$B$6</f>
        <v>378533.77359432401</v>
      </c>
      <c r="G23" s="136">
        <f t="shared" si="0"/>
        <v>1060605.9123972598</v>
      </c>
      <c r="H23" s="88">
        <f t="shared" si="1"/>
        <v>353535.30413241993</v>
      </c>
      <c r="I23" s="141">
        <v>-763204.49090466183</v>
      </c>
      <c r="J23" s="142">
        <f t="shared" si="6"/>
        <v>-384670.71731033782</v>
      </c>
      <c r="K23" s="155">
        <f t="shared" si="9"/>
        <v>459099.28</v>
      </c>
      <c r="L23" s="155">
        <f t="shared" si="10"/>
        <v>367279.43</v>
      </c>
      <c r="M23" s="155">
        <f t="shared" si="11"/>
        <v>-751950.14731033775</v>
      </c>
      <c r="N23" s="175">
        <f t="shared" si="2"/>
        <v>-2.1269449996108105</v>
      </c>
      <c r="O23" s="180">
        <f t="shared" si="7"/>
        <v>1519252.4942556063</v>
      </c>
      <c r="P23" s="51"/>
      <c r="Q23" s="21"/>
      <c r="R23" s="21"/>
      <c r="S23" s="21"/>
      <c r="T23" s="118">
        <f t="shared" si="3"/>
        <v>0</v>
      </c>
      <c r="U23" s="57">
        <f t="shared" si="4"/>
        <v>378533.77359432401</v>
      </c>
      <c r="V23" s="56">
        <f t="shared" si="5"/>
        <v>1.1491284409335981E-2</v>
      </c>
      <c r="W23" s="51">
        <f t="shared" si="12"/>
        <v>863.30400012752295</v>
      </c>
      <c r="X23" s="37">
        <f>C23*Allocations!$B$9</f>
        <v>378533.77359432401</v>
      </c>
      <c r="Y23" s="54">
        <f t="shared" si="8"/>
        <v>-751086.84331021016</v>
      </c>
      <c r="Z23" s="40"/>
      <c r="AA23" s="37"/>
      <c r="AB23" s="40"/>
      <c r="AC23" s="37"/>
      <c r="AD23" s="87">
        <v>459099.28</v>
      </c>
      <c r="AE23" s="88">
        <v>367279.43</v>
      </c>
      <c r="AF23" s="75"/>
      <c r="AG23" s="36"/>
      <c r="AH23" s="74"/>
      <c r="AI23" s="72"/>
      <c r="AJ23" s="18"/>
      <c r="AK23" s="37"/>
      <c r="AL23" s="74"/>
      <c r="AM23" s="72"/>
      <c r="AN23" s="18"/>
      <c r="AO23" s="37"/>
      <c r="AP23" s="74"/>
      <c r="AQ23" s="72"/>
      <c r="AR23" s="74"/>
      <c r="AS23" s="72"/>
      <c r="AT23" s="18"/>
      <c r="AU23" s="37"/>
      <c r="AV23" s="91"/>
      <c r="AW23" s="92"/>
    </row>
    <row r="24" spans="1:50" ht="12.5">
      <c r="A24" s="22" t="s">
        <v>21</v>
      </c>
      <c r="B24" s="23">
        <v>20</v>
      </c>
      <c r="C24" s="125">
        <v>5.1992227668418781E-3</v>
      </c>
      <c r="D24" s="160">
        <v>178486.31131703843</v>
      </c>
      <c r="E24" s="160">
        <v>155547.27743739632</v>
      </c>
      <c r="F24" s="132">
        <f>C24*Allocations!$B$6</f>
        <v>172182.66036950247</v>
      </c>
      <c r="G24" s="137">
        <f t="shared" si="0"/>
        <v>506216.24912393722</v>
      </c>
      <c r="H24" s="111">
        <f t="shared" si="1"/>
        <v>168738.74970797906</v>
      </c>
      <c r="I24" s="143">
        <v>55091.870369198063</v>
      </c>
      <c r="J24" s="144">
        <f t="shared" si="6"/>
        <v>227274.53073870053</v>
      </c>
      <c r="K24" s="156">
        <f t="shared" si="9"/>
        <v>0</v>
      </c>
      <c r="L24" s="156">
        <f t="shared" si="10"/>
        <v>0</v>
      </c>
      <c r="M24" s="156">
        <f t="shared" si="11"/>
        <v>227274.53073870053</v>
      </c>
      <c r="N24" s="176">
        <f t="shared" si="2"/>
        <v>1.34690182979324</v>
      </c>
      <c r="O24" s="181">
        <f t="shared" si="7"/>
        <v>1260370.4929557154</v>
      </c>
      <c r="P24" s="52"/>
      <c r="Q24" s="25"/>
      <c r="R24" s="25"/>
      <c r="S24" s="25"/>
      <c r="T24" s="119">
        <f t="shared" si="3"/>
        <v>0</v>
      </c>
      <c r="U24" s="58">
        <f t="shared" si="4"/>
        <v>172182.66036950247</v>
      </c>
      <c r="V24" s="59">
        <f t="shared" si="5"/>
        <v>5.2270102661500645E-3</v>
      </c>
      <c r="W24" s="52">
        <f t="shared" si="12"/>
        <v>392.68881621351602</v>
      </c>
      <c r="X24" s="38">
        <f>C24*Allocations!$B$9</f>
        <v>172182.66036950247</v>
      </c>
      <c r="Y24" s="83">
        <f t="shared" si="8"/>
        <v>227667.21955491405</v>
      </c>
      <c r="Z24" s="41"/>
      <c r="AA24" s="38"/>
      <c r="AB24" s="85"/>
      <c r="AC24" s="73"/>
      <c r="AD24" s="79"/>
      <c r="AE24" s="73"/>
      <c r="AF24" s="76"/>
      <c r="AG24" s="77"/>
      <c r="AH24" s="79"/>
      <c r="AI24" s="73"/>
      <c r="AJ24" s="26"/>
      <c r="AK24" s="38"/>
      <c r="AL24" s="79"/>
      <c r="AM24" s="73"/>
      <c r="AN24" s="26"/>
      <c r="AO24" s="38"/>
      <c r="AP24" s="79"/>
      <c r="AQ24" s="73"/>
      <c r="AR24" s="26"/>
      <c r="AS24" s="38"/>
      <c r="AT24" s="26"/>
      <c r="AU24" s="38"/>
      <c r="AV24" s="24"/>
      <c r="AW24" s="66"/>
    </row>
    <row r="25" spans="1:50" ht="12.5">
      <c r="A25" s="27" t="s">
        <v>22</v>
      </c>
      <c r="B25" s="17">
        <v>21</v>
      </c>
      <c r="C25" s="124">
        <v>7.9860497485392326E-3</v>
      </c>
      <c r="D25" s="159">
        <v>224732.19460374402</v>
      </c>
      <c r="E25" s="159">
        <v>256382.03405270554</v>
      </c>
      <c r="F25" s="131">
        <f>C25*Allocations!$B$6</f>
        <v>264474.00952237379</v>
      </c>
      <c r="G25" s="136">
        <f t="shared" si="0"/>
        <v>745588.23817882338</v>
      </c>
      <c r="H25" s="88">
        <f t="shared" si="1"/>
        <v>248529.41272627446</v>
      </c>
      <c r="I25" s="141">
        <v>206388.53961630657</v>
      </c>
      <c r="J25" s="142">
        <f t="shared" si="6"/>
        <v>470862.54913868033</v>
      </c>
      <c r="K25" s="155">
        <f t="shared" si="9"/>
        <v>215360</v>
      </c>
      <c r="L25" s="155">
        <f t="shared" si="10"/>
        <v>160000</v>
      </c>
      <c r="M25" s="155">
        <f t="shared" si="11"/>
        <v>310862.54913868033</v>
      </c>
      <c r="N25" s="175">
        <f t="shared" si="2"/>
        <v>1.250807885186042</v>
      </c>
      <c r="O25" s="180">
        <f t="shared" si="7"/>
        <v>1897706.6062729231</v>
      </c>
      <c r="P25" s="51"/>
      <c r="Q25" s="21"/>
      <c r="R25" s="21"/>
      <c r="S25" s="21"/>
      <c r="T25" s="118">
        <f t="shared" si="3"/>
        <v>0</v>
      </c>
      <c r="U25" s="57">
        <f t="shared" si="4"/>
        <v>264474.00952237379</v>
      </c>
      <c r="V25" s="56">
        <f t="shared" si="5"/>
        <v>8.0287315803849336E-3</v>
      </c>
      <c r="W25" s="51">
        <f t="shared" si="12"/>
        <v>603.17331312984186</v>
      </c>
      <c r="X25" s="37">
        <f>C25*Allocations!$B$9</f>
        <v>264474.00952237379</v>
      </c>
      <c r="Y25" s="54">
        <f t="shared" si="8"/>
        <v>311465.7224518102</v>
      </c>
      <c r="Z25" s="40"/>
      <c r="AA25" s="37"/>
      <c r="AB25" s="40"/>
      <c r="AC25" s="37"/>
      <c r="AD25" s="74"/>
      <c r="AE25" s="72"/>
      <c r="AF25" s="75"/>
      <c r="AG25" s="36"/>
      <c r="AH25" s="74">
        <v>215360</v>
      </c>
      <c r="AI25" s="72">
        <v>160000</v>
      </c>
      <c r="AJ25" s="74"/>
      <c r="AK25" s="72"/>
      <c r="AL25" s="74"/>
      <c r="AM25" s="72"/>
      <c r="AN25" s="74"/>
      <c r="AO25" s="72"/>
      <c r="AP25" s="74"/>
      <c r="AQ25" s="72"/>
      <c r="AR25" s="18"/>
      <c r="AS25" s="37"/>
      <c r="AT25" s="18"/>
      <c r="AU25" s="37"/>
      <c r="AV25" s="20"/>
      <c r="AW25" s="65"/>
    </row>
    <row r="26" spans="1:50" ht="12.5">
      <c r="A26" s="27" t="s">
        <v>23</v>
      </c>
      <c r="B26" s="17">
        <v>22</v>
      </c>
      <c r="C26" s="124">
        <v>1.1620077922655094E-2</v>
      </c>
      <c r="D26" s="159">
        <v>423053.57479654945</v>
      </c>
      <c r="E26" s="159">
        <v>370291.0093984257</v>
      </c>
      <c r="F26" s="131">
        <f>C26*Allocations!$B$6</f>
        <v>384822.12056456873</v>
      </c>
      <c r="G26" s="136">
        <f t="shared" si="0"/>
        <v>1178166.704759544</v>
      </c>
      <c r="H26" s="88">
        <f t="shared" si="1"/>
        <v>392722.23491984798</v>
      </c>
      <c r="I26" s="141">
        <v>622378.87270298903</v>
      </c>
      <c r="J26" s="142">
        <f t="shared" si="6"/>
        <v>1007200.9932675578</v>
      </c>
      <c r="K26" s="155">
        <f t="shared" si="9"/>
        <v>439713.4</v>
      </c>
      <c r="L26" s="155">
        <f t="shared" si="10"/>
        <v>343770.72</v>
      </c>
      <c r="M26" s="155">
        <f t="shared" si="11"/>
        <v>663430.27326755784</v>
      </c>
      <c r="N26" s="175">
        <f t="shared" si="2"/>
        <v>1.6893117177410635</v>
      </c>
      <c r="O26" s="180">
        <f t="shared" si="7"/>
        <v>2972362.9966549701</v>
      </c>
      <c r="P26" s="51"/>
      <c r="Q26" s="21"/>
      <c r="R26" s="21"/>
      <c r="S26" s="21"/>
      <c r="T26" s="118">
        <f t="shared" si="3"/>
        <v>0</v>
      </c>
      <c r="U26" s="57">
        <f t="shared" si="4"/>
        <v>384822.12056456873</v>
      </c>
      <c r="V26" s="56">
        <f t="shared" si="5"/>
        <v>1.1682181995074554E-2</v>
      </c>
      <c r="W26" s="51">
        <f t="shared" si="12"/>
        <v>877.64553441666681</v>
      </c>
      <c r="X26" s="37">
        <f>C26*Allocations!$B$9</f>
        <v>384822.12056456873</v>
      </c>
      <c r="Y26" s="54">
        <f t="shared" si="8"/>
        <v>664307.91880197451</v>
      </c>
      <c r="Z26" s="40"/>
      <c r="AA26" s="37"/>
      <c r="AB26" s="84"/>
      <c r="AC26" s="72"/>
      <c r="AD26" s="74"/>
      <c r="AE26" s="72"/>
      <c r="AF26" s="75"/>
      <c r="AG26" s="36"/>
      <c r="AH26" s="74"/>
      <c r="AI26" s="72"/>
      <c r="AJ26" s="18"/>
      <c r="AK26" s="37"/>
      <c r="AL26" s="74"/>
      <c r="AM26" s="72"/>
      <c r="AN26" s="74">
        <v>439713.4</v>
      </c>
      <c r="AO26" s="72">
        <v>343770.72</v>
      </c>
      <c r="AP26" s="74"/>
      <c r="AQ26" s="72"/>
      <c r="AR26" s="18"/>
      <c r="AS26" s="37"/>
      <c r="AT26" s="18"/>
      <c r="AU26" s="37"/>
      <c r="AV26" s="20"/>
      <c r="AW26" s="65"/>
    </row>
    <row r="27" spans="1:50" ht="12.5">
      <c r="A27" s="27" t="s">
        <v>24</v>
      </c>
      <c r="B27" s="17">
        <v>23</v>
      </c>
      <c r="C27" s="124">
        <v>6.8143438821927057E-3</v>
      </c>
      <c r="D27" s="159">
        <v>233766.6749945991</v>
      </c>
      <c r="E27" s="159">
        <v>224095.28512928993</v>
      </c>
      <c r="F27" s="131">
        <f>C27*Allocations!$B$6</f>
        <v>225670.62634657582</v>
      </c>
      <c r="G27" s="136">
        <f t="shared" si="0"/>
        <v>683532.58647046483</v>
      </c>
      <c r="H27" s="88">
        <f t="shared" si="1"/>
        <v>227844.19549015493</v>
      </c>
      <c r="I27" s="141">
        <v>-237802.63319455893</v>
      </c>
      <c r="J27" s="142">
        <f t="shared" si="6"/>
        <v>-12132.00684798311</v>
      </c>
      <c r="K27" s="155">
        <f t="shared" si="9"/>
        <v>0</v>
      </c>
      <c r="L27" s="155">
        <f t="shared" si="10"/>
        <v>0</v>
      </c>
      <c r="M27" s="155">
        <f t="shared" si="11"/>
        <v>-12132.00684798311</v>
      </c>
      <c r="N27" s="175">
        <f t="shared" si="2"/>
        <v>-5.3246942814952375E-2</v>
      </c>
      <c r="O27" s="180">
        <f t="shared" si="7"/>
        <v>1341891.751231472</v>
      </c>
      <c r="P27" s="51"/>
      <c r="Q27" s="21"/>
      <c r="R27" s="21"/>
      <c r="S27" s="21"/>
      <c r="T27" s="118">
        <f t="shared" si="3"/>
        <v>0</v>
      </c>
      <c r="U27" s="57">
        <f t="shared" si="4"/>
        <v>225670.62634657582</v>
      </c>
      <c r="V27" s="56">
        <f t="shared" si="5"/>
        <v>6.8507634749671838E-3</v>
      </c>
      <c r="W27" s="51">
        <f t="shared" si="12"/>
        <v>514.67627996933845</v>
      </c>
      <c r="X27" s="37">
        <f>C27*Allocations!$B$9</f>
        <v>225670.62634657582</v>
      </c>
      <c r="Y27" s="54">
        <f t="shared" si="8"/>
        <v>-11617.330568013771</v>
      </c>
      <c r="Z27" s="40"/>
      <c r="AA27" s="37"/>
      <c r="AB27" s="40"/>
      <c r="AC27" s="37"/>
      <c r="AD27" s="74"/>
      <c r="AE27" s="72"/>
      <c r="AF27" s="74"/>
      <c r="AG27" s="72"/>
      <c r="AH27" s="74"/>
      <c r="AI27" s="72"/>
      <c r="AJ27" s="18"/>
      <c r="AK27" s="37"/>
      <c r="AL27" s="74"/>
      <c r="AM27" s="72"/>
      <c r="AN27" s="18"/>
      <c r="AO27" s="37"/>
      <c r="AP27" s="74"/>
      <c r="AQ27" s="72"/>
      <c r="AR27" s="18"/>
      <c r="AS27" s="37"/>
      <c r="AT27" s="18"/>
      <c r="AU27" s="37"/>
      <c r="AV27" s="20"/>
      <c r="AW27" s="65"/>
    </row>
    <row r="28" spans="1:50" ht="12.5">
      <c r="A28" s="27" t="s">
        <v>25</v>
      </c>
      <c r="B28" s="17">
        <v>24</v>
      </c>
      <c r="C28" s="124">
        <v>1.5464269949567278E-2</v>
      </c>
      <c r="D28" s="159">
        <v>461880.60711438506</v>
      </c>
      <c r="E28" s="159">
        <v>519476.81805549923</v>
      </c>
      <c r="F28" s="131">
        <f>C28*Allocations!$B$6</f>
        <v>512130.22791981953</v>
      </c>
      <c r="G28" s="136">
        <f t="shared" si="0"/>
        <v>1493487.6530897038</v>
      </c>
      <c r="H28" s="88">
        <f t="shared" si="1"/>
        <v>497829.21769656794</v>
      </c>
      <c r="I28" s="141">
        <v>-762605.27872201812</v>
      </c>
      <c r="J28" s="142">
        <f t="shared" si="6"/>
        <v>-250475.05080219859</v>
      </c>
      <c r="K28" s="155">
        <f t="shared" si="9"/>
        <v>1544344.15</v>
      </c>
      <c r="L28" s="155">
        <f t="shared" si="10"/>
        <v>1235475.32</v>
      </c>
      <c r="M28" s="155">
        <f t="shared" si="11"/>
        <v>-1485950.3708021985</v>
      </c>
      <c r="N28" s="175">
        <f t="shared" si="2"/>
        <v>-2.9848597028467312</v>
      </c>
      <c r="O28" s="180">
        <f t="shared" si="7"/>
        <v>1586830.9967167187</v>
      </c>
      <c r="P28" s="50"/>
      <c r="Q28" s="129"/>
      <c r="R28" s="21"/>
      <c r="S28" s="21"/>
      <c r="T28" s="118">
        <f t="shared" si="3"/>
        <v>0</v>
      </c>
      <c r="U28" s="57">
        <f t="shared" si="4"/>
        <v>512130.22791981953</v>
      </c>
      <c r="V28" s="56">
        <f t="shared" si="5"/>
        <v>1.5546919493507907E-2</v>
      </c>
      <c r="W28" s="51">
        <f t="shared" si="12"/>
        <v>1167.9910887508447</v>
      </c>
      <c r="X28" s="37">
        <f>C28*Allocations!$B$9</f>
        <v>512130.22791981953</v>
      </c>
      <c r="Y28" s="54">
        <f t="shared" si="8"/>
        <v>-1484782.379713448</v>
      </c>
      <c r="Z28" s="84">
        <v>698420.49</v>
      </c>
      <c r="AA28" s="72">
        <v>558736.39</v>
      </c>
      <c r="AB28" s="40"/>
      <c r="AC28" s="37"/>
      <c r="AD28" s="74">
        <f>425106.12+420817.54</f>
        <v>845923.65999999992</v>
      </c>
      <c r="AE28" s="72">
        <f>340084.9+336654.03</f>
        <v>676738.93</v>
      </c>
      <c r="AF28" s="75"/>
      <c r="AG28" s="36"/>
      <c r="AH28" s="74"/>
      <c r="AI28" s="72"/>
      <c r="AJ28" s="74"/>
      <c r="AK28" s="72"/>
      <c r="AL28" s="74"/>
      <c r="AM28" s="72"/>
      <c r="AN28" s="18"/>
      <c r="AO28" s="37"/>
      <c r="AP28" s="74"/>
      <c r="AQ28" s="72"/>
      <c r="AR28" s="18"/>
      <c r="AS28" s="37"/>
      <c r="AT28" s="18"/>
      <c r="AU28" s="37"/>
      <c r="AV28" s="20"/>
      <c r="AW28" s="65"/>
    </row>
    <row r="29" spans="1:50" ht="12.5">
      <c r="A29" s="22" t="s">
        <v>26</v>
      </c>
      <c r="B29" s="23">
        <v>25</v>
      </c>
      <c r="C29" s="125">
        <v>7.504156212464007E-3</v>
      </c>
      <c r="D29" s="160">
        <v>250040.46083460032</v>
      </c>
      <c r="E29" s="160">
        <v>227648.3517157051</v>
      </c>
      <c r="F29" s="132">
        <f>C29*Allocations!$B$6</f>
        <v>248515.14128817053</v>
      </c>
      <c r="G29" s="137">
        <f t="shared" si="0"/>
        <v>726203.95383847598</v>
      </c>
      <c r="H29" s="111">
        <f t="shared" si="1"/>
        <v>242067.98461282533</v>
      </c>
      <c r="I29" s="143">
        <v>-456496.60180017084</v>
      </c>
      <c r="J29" s="144">
        <f t="shared" si="6"/>
        <v>-207981.46051200031</v>
      </c>
      <c r="K29" s="156">
        <f t="shared" si="9"/>
        <v>597768.5</v>
      </c>
      <c r="L29" s="156">
        <f t="shared" si="10"/>
        <v>478214.8</v>
      </c>
      <c r="M29" s="156">
        <f t="shared" si="11"/>
        <v>-686196.2605120003</v>
      </c>
      <c r="N29" s="176">
        <f t="shared" si="2"/>
        <v>-2.8347253834889985</v>
      </c>
      <c r="O29" s="181">
        <f t="shared" si="7"/>
        <v>804894.58721702278</v>
      </c>
      <c r="P29" s="52"/>
      <c r="Q29" s="25"/>
      <c r="R29" s="25"/>
      <c r="S29" s="25"/>
      <c r="T29" s="119">
        <f t="shared" si="3"/>
        <v>0</v>
      </c>
      <c r="U29" s="58">
        <f t="shared" si="4"/>
        <v>248515.14128817053</v>
      </c>
      <c r="V29" s="59">
        <f t="shared" si="5"/>
        <v>7.5442625408352823E-3</v>
      </c>
      <c r="W29" s="52">
        <f t="shared" si="12"/>
        <v>566.7766802659512</v>
      </c>
      <c r="X29" s="38">
        <f>C29*Allocations!$B$9</f>
        <v>248515.14128817053</v>
      </c>
      <c r="Y29" s="83">
        <f t="shared" si="8"/>
        <v>-685629.4838317344</v>
      </c>
      <c r="Z29" s="41"/>
      <c r="AA29" s="38"/>
      <c r="AB29" s="41"/>
      <c r="AC29" s="38"/>
      <c r="AD29" s="79"/>
      <c r="AE29" s="73"/>
      <c r="AF29" s="76"/>
      <c r="AG29" s="77"/>
      <c r="AH29" s="79"/>
      <c r="AI29" s="73"/>
      <c r="AJ29" s="79"/>
      <c r="AK29" s="73"/>
      <c r="AL29" s="79">
        <v>597768.5</v>
      </c>
      <c r="AM29" s="73">
        <v>478214.8</v>
      </c>
      <c r="AN29" s="26"/>
      <c r="AO29" s="38"/>
      <c r="AP29" s="79"/>
      <c r="AQ29" s="73"/>
      <c r="AR29" s="26"/>
      <c r="AS29" s="38"/>
      <c r="AT29" s="26"/>
      <c r="AU29" s="38"/>
      <c r="AV29" s="24"/>
      <c r="AW29" s="66"/>
    </row>
    <row r="30" spans="1:50" ht="12.5">
      <c r="A30" s="27" t="s">
        <v>27</v>
      </c>
      <c r="B30" s="17">
        <v>26</v>
      </c>
      <c r="C30" s="124">
        <v>1.4586259302497651E-2</v>
      </c>
      <c r="D30" s="159">
        <v>468620.67180917459</v>
      </c>
      <c r="E30" s="159">
        <v>452976.2268089031</v>
      </c>
      <c r="F30" s="131">
        <f>C30*Allocations!$B$6</f>
        <v>483053.1493208147</v>
      </c>
      <c r="G30" s="136">
        <f t="shared" si="0"/>
        <v>1404650.0479388924</v>
      </c>
      <c r="H30" s="88">
        <f t="shared" si="1"/>
        <v>468216.68264629744</v>
      </c>
      <c r="I30" s="141">
        <v>919523.64201654505</v>
      </c>
      <c r="J30" s="142">
        <f t="shared" si="6"/>
        <v>1402576.7913373597</v>
      </c>
      <c r="K30" s="155">
        <f t="shared" si="9"/>
        <v>1099703.5899999999</v>
      </c>
      <c r="L30" s="155">
        <f t="shared" si="10"/>
        <v>879762.89999999991</v>
      </c>
      <c r="M30" s="155">
        <f t="shared" si="11"/>
        <v>522813.89133735979</v>
      </c>
      <c r="N30" s="175">
        <f t="shared" si="2"/>
        <v>1.116606713760147</v>
      </c>
      <c r="O30" s="180">
        <f t="shared" si="7"/>
        <v>3421132.7872622479</v>
      </c>
      <c r="P30" s="51"/>
      <c r="Q30" s="21"/>
      <c r="R30" s="21"/>
      <c r="S30" s="21"/>
      <c r="T30" s="118">
        <f t="shared" si="3"/>
        <v>0</v>
      </c>
      <c r="U30" s="57">
        <f t="shared" si="4"/>
        <v>483053.1493208147</v>
      </c>
      <c r="V30" s="56">
        <f t="shared" si="5"/>
        <v>1.466421627577106E-2</v>
      </c>
      <c r="W30" s="51">
        <f t="shared" si="12"/>
        <v>1101.6763765174112</v>
      </c>
      <c r="X30" s="37">
        <f>C30*Allocations!$B$9</f>
        <v>483053.1493208147</v>
      </c>
      <c r="Y30" s="54">
        <f t="shared" si="8"/>
        <v>523915.56771387724</v>
      </c>
      <c r="Z30" s="40"/>
      <c r="AA30" s="37"/>
      <c r="AB30" s="84">
        <v>586487.21</v>
      </c>
      <c r="AC30" s="72">
        <v>469189.8</v>
      </c>
      <c r="AD30" s="74"/>
      <c r="AE30" s="72"/>
      <c r="AF30" s="75"/>
      <c r="AG30" s="36"/>
      <c r="AH30" s="74"/>
      <c r="AI30" s="72"/>
      <c r="AJ30" s="74"/>
      <c r="AK30" s="72"/>
      <c r="AL30" s="74"/>
      <c r="AM30" s="72"/>
      <c r="AN30" s="74"/>
      <c r="AO30" s="72"/>
      <c r="AP30" s="74"/>
      <c r="AQ30" s="72"/>
      <c r="AR30" s="74"/>
      <c r="AS30" s="37"/>
      <c r="AT30" s="74"/>
      <c r="AU30" s="72"/>
      <c r="AV30" s="91">
        <v>513216.38</v>
      </c>
      <c r="AW30" s="92">
        <v>410573.1</v>
      </c>
    </row>
    <row r="31" spans="1:50" ht="12.5">
      <c r="A31" s="27" t="s">
        <v>28</v>
      </c>
      <c r="B31" s="17">
        <v>27</v>
      </c>
      <c r="C31" s="124">
        <v>1.0965274801283136E-2</v>
      </c>
      <c r="D31" s="159">
        <v>247221.73339319619</v>
      </c>
      <c r="E31" s="159">
        <v>309451.67726693174</v>
      </c>
      <c r="F31" s="131">
        <f>C31*Allocations!$B$6</f>
        <v>363137.00559409359</v>
      </c>
      <c r="G31" s="136">
        <f t="shared" si="0"/>
        <v>919810.41625422146</v>
      </c>
      <c r="H31" s="88">
        <f t="shared" si="1"/>
        <v>306603.47208474047</v>
      </c>
      <c r="I31" s="141">
        <v>483473.69741552992</v>
      </c>
      <c r="J31" s="142">
        <f t="shared" si="6"/>
        <v>846610.70300962357</v>
      </c>
      <c r="K31" s="155">
        <f t="shared" si="9"/>
        <v>0</v>
      </c>
      <c r="L31" s="155">
        <f t="shared" si="10"/>
        <v>0</v>
      </c>
      <c r="M31" s="155">
        <f t="shared" si="11"/>
        <v>846610.70300962357</v>
      </c>
      <c r="N31" s="175">
        <f t="shared" si="2"/>
        <v>2.7612560851092822</v>
      </c>
      <c r="O31" s="180">
        <f t="shared" si="7"/>
        <v>3025432.7365741851</v>
      </c>
      <c r="P31" s="51"/>
      <c r="Q31" s="21"/>
      <c r="R31" s="21"/>
      <c r="S31" s="21"/>
      <c r="T31" s="118">
        <f t="shared" si="3"/>
        <v>0</v>
      </c>
      <c r="U31" s="57">
        <f t="shared" si="4"/>
        <v>363137.00559409359</v>
      </c>
      <c r="V31" s="56">
        <f t="shared" si="5"/>
        <v>1.1023879246527903E-2</v>
      </c>
      <c r="W31" s="51">
        <f t="shared" si="12"/>
        <v>828.18932257201482</v>
      </c>
      <c r="X31" s="37">
        <f>C31*Allocations!$B$9</f>
        <v>363137.00559409359</v>
      </c>
      <c r="Y31" s="54">
        <f t="shared" si="8"/>
        <v>847438.89233219554</v>
      </c>
      <c r="Z31" s="40"/>
      <c r="AA31" s="37"/>
      <c r="AB31" s="40"/>
      <c r="AC31" s="37"/>
      <c r="AD31" s="74"/>
      <c r="AE31" s="72"/>
      <c r="AF31" s="74"/>
      <c r="AG31" s="72"/>
      <c r="AH31" s="74"/>
      <c r="AI31" s="72"/>
      <c r="AJ31" s="74"/>
      <c r="AK31" s="72"/>
      <c r="AL31" s="74"/>
      <c r="AM31" s="72"/>
      <c r="AN31" s="18"/>
      <c r="AO31" s="37"/>
      <c r="AP31" s="74"/>
      <c r="AQ31" s="72"/>
      <c r="AR31" s="18"/>
      <c r="AS31" s="37"/>
      <c r="AT31" s="18"/>
      <c r="AU31" s="37"/>
      <c r="AV31" s="20"/>
      <c r="AW31" s="65"/>
    </row>
    <row r="32" spans="1:50" ht="12.5">
      <c r="A32" s="27" t="s">
        <v>29</v>
      </c>
      <c r="B32" s="17">
        <v>28</v>
      </c>
      <c r="C32" s="124">
        <v>7.7753203297645321E-3</v>
      </c>
      <c r="D32" s="159">
        <v>245676.80628522483</v>
      </c>
      <c r="E32" s="159">
        <v>231984.08347460671</v>
      </c>
      <c r="F32" s="131">
        <f>C32*Allocations!$B$6</f>
        <v>257495.283360812</v>
      </c>
      <c r="G32" s="136">
        <f t="shared" si="0"/>
        <v>735156.17312064348</v>
      </c>
      <c r="H32" s="88">
        <f t="shared" si="1"/>
        <v>245052.05770688117</v>
      </c>
      <c r="I32" s="141">
        <v>-1028420.1916091666</v>
      </c>
      <c r="J32" s="142">
        <f t="shared" si="6"/>
        <v>-770924.90824835456</v>
      </c>
      <c r="K32" s="155">
        <f t="shared" si="9"/>
        <v>337360.25</v>
      </c>
      <c r="L32" s="155">
        <f t="shared" si="10"/>
        <v>269888.2</v>
      </c>
      <c r="M32" s="155">
        <f t="shared" si="11"/>
        <v>-1040813.1082483546</v>
      </c>
      <c r="N32" s="175">
        <f t="shared" si="2"/>
        <v>-4.2473142971658797</v>
      </c>
      <c r="O32" s="180">
        <f t="shared" si="7"/>
        <v>504158.59191651735</v>
      </c>
      <c r="P32" s="51"/>
      <c r="Q32" s="21"/>
      <c r="R32" s="21"/>
      <c r="S32" s="21"/>
      <c r="T32" s="118">
        <f t="shared" si="3"/>
        <v>0</v>
      </c>
      <c r="U32" s="57">
        <f t="shared" si="4"/>
        <v>257495.283360812</v>
      </c>
      <c r="V32" s="56">
        <f t="shared" si="5"/>
        <v>7.8168759079679066E-3</v>
      </c>
      <c r="W32" s="51">
        <f t="shared" si="12"/>
        <v>587.25726380651872</v>
      </c>
      <c r="X32" s="37">
        <f>C32*Allocations!$B$9</f>
        <v>257495.283360812</v>
      </c>
      <c r="Y32" s="54">
        <f t="shared" si="8"/>
        <v>-1040225.8509845481</v>
      </c>
      <c r="Z32" s="40"/>
      <c r="AA32" s="37"/>
      <c r="AB32" s="40"/>
      <c r="AC32" s="37"/>
      <c r="AD32" s="74"/>
      <c r="AE32" s="72"/>
      <c r="AF32" s="75"/>
      <c r="AG32" s="78"/>
      <c r="AH32" s="74">
        <v>337360.25</v>
      </c>
      <c r="AI32" s="72">
        <v>269888.2</v>
      </c>
      <c r="AJ32" s="74"/>
      <c r="AK32" s="72"/>
      <c r="AL32" s="74"/>
      <c r="AM32" s="72"/>
      <c r="AN32" s="18"/>
      <c r="AO32" s="37"/>
      <c r="AP32" s="74"/>
      <c r="AQ32" s="72"/>
      <c r="AR32" s="18"/>
      <c r="AS32" s="37"/>
      <c r="AT32" s="18"/>
      <c r="AU32" s="37"/>
      <c r="AV32" s="20"/>
      <c r="AW32" s="65"/>
    </row>
    <row r="33" spans="1:49" ht="12.5">
      <c r="A33" s="27" t="s">
        <v>30</v>
      </c>
      <c r="B33" s="17">
        <v>29</v>
      </c>
      <c r="C33" s="124">
        <v>9.3239255256746274E-3</v>
      </c>
      <c r="D33" s="159">
        <v>239507.17673635206</v>
      </c>
      <c r="E33" s="159">
        <v>250651.15620638835</v>
      </c>
      <c r="F33" s="131">
        <f>C33*Allocations!$B$6</f>
        <v>308780.44163376663</v>
      </c>
      <c r="G33" s="136">
        <f t="shared" si="0"/>
        <v>798938.77457650704</v>
      </c>
      <c r="H33" s="88">
        <f t="shared" si="1"/>
        <v>266312.9248588357</v>
      </c>
      <c r="I33" s="141">
        <v>622229.63716672477</v>
      </c>
      <c r="J33" s="142">
        <f t="shared" si="6"/>
        <v>931010.07880049141</v>
      </c>
      <c r="K33" s="155">
        <f t="shared" si="9"/>
        <v>0</v>
      </c>
      <c r="L33" s="155">
        <f t="shared" si="10"/>
        <v>0</v>
      </c>
      <c r="M33" s="155">
        <f t="shared" si="11"/>
        <v>931010.07880049141</v>
      </c>
      <c r="N33" s="175">
        <f t="shared" si="2"/>
        <v>3.4959252514461747</v>
      </c>
      <c r="O33" s="180">
        <f t="shared" si="7"/>
        <v>2783692.7286030911</v>
      </c>
      <c r="P33" s="51"/>
      <c r="Q33" s="21"/>
      <c r="R33" s="21">
        <v>579191.5</v>
      </c>
      <c r="S33" s="21">
        <f>R33*0.8</f>
        <v>463353.2</v>
      </c>
      <c r="T33" s="118">
        <f t="shared" si="3"/>
        <v>0</v>
      </c>
      <c r="U33" s="57">
        <f t="shared" si="4"/>
        <v>308780.44163376663</v>
      </c>
      <c r="V33" s="56">
        <f t="shared" si="5"/>
        <v>9.3737576997731508E-3</v>
      </c>
      <c r="W33" s="51">
        <f t="shared" si="12"/>
        <v>704.22088864720263</v>
      </c>
      <c r="X33" s="37">
        <f>C33*Allocations!$B$9</f>
        <v>308780.44163376663</v>
      </c>
      <c r="Y33" s="54">
        <f t="shared" si="8"/>
        <v>931714.29968913866</v>
      </c>
      <c r="Z33" s="40"/>
      <c r="AA33" s="37"/>
      <c r="AB33" s="40"/>
      <c r="AC33" s="37"/>
      <c r="AD33" s="74"/>
      <c r="AE33" s="72"/>
      <c r="AF33" s="75"/>
      <c r="AG33" s="36"/>
      <c r="AH33" s="74"/>
      <c r="AI33" s="72"/>
      <c r="AJ33" s="18"/>
      <c r="AK33" s="37"/>
      <c r="AL33" s="74"/>
      <c r="AM33" s="72"/>
      <c r="AN33" s="18"/>
      <c r="AO33" s="37"/>
      <c r="AP33" s="74"/>
      <c r="AQ33" s="72"/>
      <c r="AR33" s="18"/>
      <c r="AS33" s="37"/>
      <c r="AT33" s="18"/>
      <c r="AU33" s="37"/>
      <c r="AV33" s="20"/>
      <c r="AW33" s="65"/>
    </row>
    <row r="34" spans="1:49" ht="12.5">
      <c r="A34" s="22" t="s">
        <v>31</v>
      </c>
      <c r="B34" s="23">
        <v>30</v>
      </c>
      <c r="C34" s="125">
        <v>3.0424452991126643E-3</v>
      </c>
      <c r="D34" s="160">
        <v>111396.10162482767</v>
      </c>
      <c r="E34" s="160">
        <v>100764.57575246735</v>
      </c>
      <c r="F34" s="132">
        <f>C34*Allocations!$B$6</f>
        <v>100756.6609707141</v>
      </c>
      <c r="G34" s="137">
        <f t="shared" si="0"/>
        <v>312917.33834800916</v>
      </c>
      <c r="H34" s="111">
        <f t="shared" si="1"/>
        <v>104305.77944933639</v>
      </c>
      <c r="I34" s="143">
        <v>-281834.91197287594</v>
      </c>
      <c r="J34" s="144">
        <f t="shared" si="6"/>
        <v>-181078.25100216182</v>
      </c>
      <c r="K34" s="156">
        <f t="shared" si="9"/>
        <v>0</v>
      </c>
      <c r="L34" s="156">
        <f t="shared" si="10"/>
        <v>0</v>
      </c>
      <c r="M34" s="156">
        <f t="shared" si="11"/>
        <v>-181078.25100216182</v>
      </c>
      <c r="N34" s="176">
        <f t="shared" si="2"/>
        <v>-1.7360327678689704</v>
      </c>
      <c r="O34" s="181">
        <f t="shared" si="7"/>
        <v>423461.71482212277</v>
      </c>
      <c r="P34" s="52"/>
      <c r="Q34" s="25"/>
      <c r="R34" s="25"/>
      <c r="S34" s="25"/>
      <c r="T34" s="119">
        <f t="shared" si="3"/>
        <v>0</v>
      </c>
      <c r="U34" s="58">
        <f t="shared" si="4"/>
        <v>100756.6609707141</v>
      </c>
      <c r="V34" s="59">
        <f t="shared" si="5"/>
        <v>3.0587057961976244E-3</v>
      </c>
      <c r="W34" s="52">
        <f t="shared" si="12"/>
        <v>229.79093154506953</v>
      </c>
      <c r="X34" s="38">
        <f>C34*Allocations!$B$9</f>
        <v>100756.6609707141</v>
      </c>
      <c r="Y34" s="83">
        <f t="shared" si="8"/>
        <v>-180848.46007061674</v>
      </c>
      <c r="Z34" s="41"/>
      <c r="AA34" s="38"/>
      <c r="AB34" s="41"/>
      <c r="AC34" s="38"/>
      <c r="AD34" s="79"/>
      <c r="AE34" s="73"/>
      <c r="AF34" s="76"/>
      <c r="AG34" s="77"/>
      <c r="AH34" s="79"/>
      <c r="AI34" s="73"/>
      <c r="AJ34" s="26"/>
      <c r="AK34" s="38"/>
      <c r="AL34" s="79"/>
      <c r="AM34" s="73"/>
      <c r="AN34" s="79"/>
      <c r="AO34" s="73"/>
      <c r="AP34" s="79"/>
      <c r="AQ34" s="73"/>
      <c r="AR34" s="26"/>
      <c r="AS34" s="38"/>
      <c r="AT34" s="26"/>
      <c r="AU34" s="38"/>
      <c r="AV34" s="24"/>
      <c r="AW34" s="66"/>
    </row>
    <row r="35" spans="1:49" ht="12.5">
      <c r="A35" s="27" t="s">
        <v>32</v>
      </c>
      <c r="B35" s="17">
        <v>31</v>
      </c>
      <c r="C35" s="124">
        <v>1.0084547955583573E-2</v>
      </c>
      <c r="D35" s="159">
        <v>311016.37941771268</v>
      </c>
      <c r="E35" s="159">
        <v>333614.35624386062</v>
      </c>
      <c r="F35" s="131">
        <f>C35*Allocations!$B$6</f>
        <v>333969.97464506119</v>
      </c>
      <c r="G35" s="136">
        <f t="shared" si="0"/>
        <v>978600.71030663443</v>
      </c>
      <c r="H35" s="88">
        <f t="shared" si="1"/>
        <v>326200.23676887812</v>
      </c>
      <c r="I35" s="141">
        <v>-1046624.3776149885</v>
      </c>
      <c r="J35" s="142">
        <f t="shared" si="6"/>
        <v>-712654.40296992729</v>
      </c>
      <c r="K35" s="155">
        <f t="shared" si="9"/>
        <v>0</v>
      </c>
      <c r="L35" s="155">
        <f t="shared" si="10"/>
        <v>0</v>
      </c>
      <c r="M35" s="155">
        <f t="shared" si="11"/>
        <v>-712654.40296992729</v>
      </c>
      <c r="N35" s="175">
        <f t="shared" si="2"/>
        <v>-2.1847145484289228</v>
      </c>
      <c r="O35" s="180">
        <f t="shared" si="7"/>
        <v>1291165.4449004398</v>
      </c>
      <c r="P35" s="51"/>
      <c r="Q35" s="21"/>
      <c r="R35" s="21"/>
      <c r="S35" s="21"/>
      <c r="T35" s="118">
        <f t="shared" si="3"/>
        <v>0</v>
      </c>
      <c r="U35" s="57">
        <f t="shared" si="4"/>
        <v>333969.97464506119</v>
      </c>
      <c r="V35" s="56">
        <f t="shared" si="5"/>
        <v>1.0138445313305249E-2</v>
      </c>
      <c r="W35" s="51">
        <f t="shared" si="12"/>
        <v>761.66946028588654</v>
      </c>
      <c r="X35" s="37">
        <f>C35*Allocations!$B$9</f>
        <v>333969.97464506119</v>
      </c>
      <c r="Y35" s="54">
        <f t="shared" si="8"/>
        <v>-711892.73350964137</v>
      </c>
      <c r="Z35" s="40"/>
      <c r="AA35" s="37"/>
      <c r="AB35" s="40"/>
      <c r="AC35" s="37"/>
      <c r="AD35" s="74"/>
      <c r="AE35" s="72"/>
      <c r="AF35" s="75"/>
      <c r="AG35" s="36"/>
      <c r="AH35" s="74"/>
      <c r="AI35" s="72"/>
      <c r="AJ35" s="74"/>
      <c r="AK35" s="72"/>
      <c r="AL35" s="74"/>
      <c r="AM35" s="72"/>
      <c r="AN35" s="18"/>
      <c r="AO35" s="37"/>
      <c r="AP35" s="74"/>
      <c r="AQ35" s="72"/>
      <c r="AR35" s="18"/>
      <c r="AS35" s="37"/>
      <c r="AT35" s="18"/>
      <c r="AU35" s="37"/>
      <c r="AV35" s="20"/>
      <c r="AW35" s="65"/>
    </row>
    <row r="36" spans="1:49" ht="12.5">
      <c r="A36" s="27" t="s">
        <v>33</v>
      </c>
      <c r="B36" s="17">
        <v>32</v>
      </c>
      <c r="C36" s="124">
        <v>5.0947397018875039E-3</v>
      </c>
      <c r="D36" s="159">
        <v>144889.83242697327</v>
      </c>
      <c r="E36" s="159">
        <v>141892.386814008</v>
      </c>
      <c r="F36" s="131">
        <f>C36*Allocations!$B$6</f>
        <v>168722.49470740848</v>
      </c>
      <c r="G36" s="136">
        <f t="shared" si="0"/>
        <v>455504.71394838975</v>
      </c>
      <c r="H36" s="88">
        <f t="shared" si="1"/>
        <v>151834.90464946325</v>
      </c>
      <c r="I36" s="141">
        <v>-31006.149177735177</v>
      </c>
      <c r="J36" s="142">
        <f t="shared" si="6"/>
        <v>137716.3455296733</v>
      </c>
      <c r="K36" s="155">
        <f t="shared" si="9"/>
        <v>0</v>
      </c>
      <c r="L36" s="155">
        <f t="shared" si="10"/>
        <v>0</v>
      </c>
      <c r="M36" s="155">
        <f t="shared" si="11"/>
        <v>137716.3455296733</v>
      </c>
      <c r="N36" s="175">
        <f t="shared" si="2"/>
        <v>0.90701374527560019</v>
      </c>
      <c r="O36" s="180">
        <f t="shared" si="7"/>
        <v>1150051.3137741243</v>
      </c>
      <c r="P36" s="51"/>
      <c r="Q36" s="21"/>
      <c r="R36" s="21"/>
      <c r="S36" s="21"/>
      <c r="T36" s="118">
        <f t="shared" si="3"/>
        <v>0</v>
      </c>
      <c r="U36" s="57">
        <f t="shared" si="4"/>
        <v>168722.49470740848</v>
      </c>
      <c r="V36" s="56">
        <f t="shared" si="5"/>
        <v>5.1219687863661417E-3</v>
      </c>
      <c r="W36" s="51">
        <f t="shared" si="12"/>
        <v>384.7973807180112</v>
      </c>
      <c r="X36" s="37">
        <f>C36*Allocations!$B$9</f>
        <v>168722.49470740848</v>
      </c>
      <c r="Y36" s="54">
        <f t="shared" si="8"/>
        <v>138101.14291039133</v>
      </c>
      <c r="Z36" s="40"/>
      <c r="AA36" s="37"/>
      <c r="AB36" s="40"/>
      <c r="AC36" s="37"/>
      <c r="AD36" s="74"/>
      <c r="AE36" s="72"/>
      <c r="AF36" s="75"/>
      <c r="AG36" s="36"/>
      <c r="AH36" s="74"/>
      <c r="AI36" s="72"/>
      <c r="AJ36" s="18"/>
      <c r="AK36" s="37"/>
      <c r="AL36" s="74"/>
      <c r="AM36" s="72"/>
      <c r="AN36" s="18"/>
      <c r="AO36" s="37"/>
      <c r="AP36" s="74"/>
      <c r="AQ36" s="72"/>
      <c r="AR36" s="18"/>
      <c r="AS36" s="37"/>
      <c r="AT36" s="18"/>
      <c r="AU36" s="37"/>
      <c r="AV36" s="20"/>
      <c r="AW36" s="65"/>
    </row>
    <row r="37" spans="1:49" ht="12.5">
      <c r="A37" s="27" t="s">
        <v>34</v>
      </c>
      <c r="B37" s="17">
        <v>33</v>
      </c>
      <c r="C37" s="124">
        <v>8.5169162468460742E-3</v>
      </c>
      <c r="D37" s="159">
        <v>342713.60833616182</v>
      </c>
      <c r="E37" s="159">
        <v>310471.71062523534</v>
      </c>
      <c r="F37" s="131">
        <f>C37*Allocations!$B$6</f>
        <v>282054.71534680144</v>
      </c>
      <c r="G37" s="136">
        <f t="shared" ref="G37:G68" si="13">SUM(D37:F37)</f>
        <v>935240.03430819861</v>
      </c>
      <c r="H37" s="88">
        <f t="shared" ref="H37:H68" si="14">SUM(D37:F37)/3</f>
        <v>311746.67810273287</v>
      </c>
      <c r="I37" s="141">
        <v>438791.77289396053</v>
      </c>
      <c r="J37" s="142">
        <f t="shared" si="6"/>
        <v>720846.48824076192</v>
      </c>
      <c r="K37" s="155">
        <f t="shared" si="9"/>
        <v>244748.35</v>
      </c>
      <c r="L37" s="155">
        <f t="shared" si="10"/>
        <v>195798.68</v>
      </c>
      <c r="M37" s="155">
        <f t="shared" si="11"/>
        <v>525047.80824076198</v>
      </c>
      <c r="N37" s="175">
        <f t="shared" ref="N37:N68" si="15">M37/H37</f>
        <v>1.6842130008767502</v>
      </c>
      <c r="O37" s="180">
        <f t="shared" si="7"/>
        <v>2217376.1003215704</v>
      </c>
      <c r="P37" s="51"/>
      <c r="Q37" s="21"/>
      <c r="R37" s="21"/>
      <c r="S37" s="21"/>
      <c r="T37" s="118">
        <f t="shared" si="3"/>
        <v>0</v>
      </c>
      <c r="U37" s="57">
        <f t="shared" ref="U37:U68" si="16">IF(T37&gt;0,0,F37)</f>
        <v>282054.71534680144</v>
      </c>
      <c r="V37" s="56">
        <f t="shared" ref="V37:V68" si="17">IF(U37&gt;0.01,F37/$U$104,0)</f>
        <v>8.5624353205480987E-3</v>
      </c>
      <c r="W37" s="51">
        <f t="shared" si="12"/>
        <v>643.26879396151901</v>
      </c>
      <c r="X37" s="37">
        <f>C37*Allocations!$B$9</f>
        <v>282054.71534680144</v>
      </c>
      <c r="Y37" s="54">
        <f t="shared" si="8"/>
        <v>525691.07703472348</v>
      </c>
      <c r="Z37" s="40"/>
      <c r="AA37" s="37"/>
      <c r="AB37" s="40"/>
      <c r="AC37" s="37"/>
      <c r="AD37" s="74"/>
      <c r="AE37" s="72"/>
      <c r="AF37" s="75"/>
      <c r="AG37" s="36"/>
      <c r="AH37" s="74">
        <v>244748.35</v>
      </c>
      <c r="AI37" s="72">
        <v>195798.68</v>
      </c>
      <c r="AJ37" s="18"/>
      <c r="AK37" s="37"/>
      <c r="AL37" s="74"/>
      <c r="AM37" s="72"/>
      <c r="AN37" s="18"/>
      <c r="AO37" s="37"/>
      <c r="AP37" s="74"/>
      <c r="AQ37" s="72"/>
      <c r="AR37" s="74"/>
      <c r="AS37" s="72"/>
      <c r="AT37" s="74"/>
      <c r="AU37" s="72"/>
      <c r="AV37" s="20"/>
      <c r="AW37" s="65"/>
    </row>
    <row r="38" spans="1:49" ht="12.5">
      <c r="A38" s="27" t="s">
        <v>35</v>
      </c>
      <c r="B38" s="17">
        <v>34</v>
      </c>
      <c r="C38" s="124">
        <v>8.5461405280032772E-3</v>
      </c>
      <c r="D38" s="159">
        <v>252956.70557591406</v>
      </c>
      <c r="E38" s="159">
        <v>271166.41704132239</v>
      </c>
      <c r="F38" s="131">
        <f>C38*Allocations!$B$6</f>
        <v>283022.53586588451</v>
      </c>
      <c r="G38" s="136">
        <f t="shared" si="13"/>
        <v>807145.65848312096</v>
      </c>
      <c r="H38" s="88">
        <f t="shared" si="14"/>
        <v>269048.55282770697</v>
      </c>
      <c r="I38" s="141">
        <v>-125009.02450510557</v>
      </c>
      <c r="J38" s="142">
        <f t="shared" si="6"/>
        <v>158013.51136077894</v>
      </c>
      <c r="K38" s="155">
        <f t="shared" si="9"/>
        <v>751096.7</v>
      </c>
      <c r="L38" s="155">
        <f t="shared" si="10"/>
        <v>600877.36</v>
      </c>
      <c r="M38" s="155">
        <f t="shared" si="11"/>
        <v>-442863.84863922105</v>
      </c>
      <c r="N38" s="175">
        <f t="shared" si="15"/>
        <v>-1.6460369103818289</v>
      </c>
      <c r="O38" s="180">
        <f t="shared" si="7"/>
        <v>1255271.3665560861</v>
      </c>
      <c r="P38" s="51"/>
      <c r="Q38" s="21"/>
      <c r="R38" s="21"/>
      <c r="S38" s="21"/>
      <c r="T38" s="118">
        <f t="shared" si="3"/>
        <v>0</v>
      </c>
      <c r="U38" s="57">
        <f t="shared" si="16"/>
        <v>283022.53586588451</v>
      </c>
      <c r="V38" s="56">
        <f t="shared" si="17"/>
        <v>8.5918157922993295E-3</v>
      </c>
      <c r="W38" s="51">
        <f t="shared" si="12"/>
        <v>645.47605625570293</v>
      </c>
      <c r="X38" s="37">
        <f>C38*Allocations!$B$9</f>
        <v>283022.53586588451</v>
      </c>
      <c r="Y38" s="54">
        <f t="shared" si="8"/>
        <v>-442218.3725829653</v>
      </c>
      <c r="Z38" s="40"/>
      <c r="AA38" s="37"/>
      <c r="AB38" s="40"/>
      <c r="AC38" s="37"/>
      <c r="AD38" s="74"/>
      <c r="AE38" s="72"/>
      <c r="AF38" s="74">
        <v>751096.7</v>
      </c>
      <c r="AG38" s="72">
        <v>600877.36</v>
      </c>
      <c r="AH38" s="74"/>
      <c r="AI38" s="128"/>
      <c r="AJ38" s="18"/>
      <c r="AK38" s="37"/>
      <c r="AL38" s="74"/>
      <c r="AM38" s="72"/>
      <c r="AN38" s="18"/>
      <c r="AO38" s="37"/>
      <c r="AP38" s="74"/>
      <c r="AQ38" s="72"/>
      <c r="AR38" s="18"/>
      <c r="AS38" s="37"/>
      <c r="AT38" s="18"/>
      <c r="AU38" s="37"/>
      <c r="AV38" s="20"/>
      <c r="AW38" s="65"/>
    </row>
    <row r="39" spans="1:49" ht="12.5">
      <c r="A39" s="22" t="s">
        <v>36</v>
      </c>
      <c r="B39" s="23">
        <v>35</v>
      </c>
      <c r="C39" s="125">
        <v>7.9124986853167083E-3</v>
      </c>
      <c r="D39" s="160">
        <v>572610.27344117174</v>
      </c>
      <c r="E39" s="160">
        <v>540481.20281237515</v>
      </c>
      <c r="F39" s="132">
        <f>C39*Allocations!$B$6</f>
        <v>262038.21896163342</v>
      </c>
      <c r="G39" s="137">
        <f t="shared" si="13"/>
        <v>1375129.6952151803</v>
      </c>
      <c r="H39" s="111">
        <f t="shared" si="14"/>
        <v>458376.56507172674</v>
      </c>
      <c r="I39" s="143">
        <v>836244.7404833457</v>
      </c>
      <c r="J39" s="144">
        <f t="shared" si="6"/>
        <v>1098282.9594449792</v>
      </c>
      <c r="K39" s="156">
        <f t="shared" si="9"/>
        <v>434225.2</v>
      </c>
      <c r="L39" s="156">
        <f t="shared" si="10"/>
        <v>334988.40000000002</v>
      </c>
      <c r="M39" s="156">
        <f t="shared" si="11"/>
        <v>763294.55944497918</v>
      </c>
      <c r="N39" s="176">
        <f t="shared" si="15"/>
        <v>1.6652128786853204</v>
      </c>
      <c r="O39" s="181">
        <f t="shared" si="7"/>
        <v>2335523.8732147799</v>
      </c>
      <c r="P39" s="52"/>
      <c r="Q39" s="25"/>
      <c r="R39" s="25"/>
      <c r="S39" s="25"/>
      <c r="T39" s="119">
        <f t="shared" si="3"/>
        <v>0</v>
      </c>
      <c r="U39" s="58">
        <f t="shared" si="16"/>
        <v>262038.21896163342</v>
      </c>
      <c r="V39" s="59">
        <f t="shared" si="17"/>
        <v>7.9547874199226726E-3</v>
      </c>
      <c r="W39" s="52">
        <f t="shared" si="12"/>
        <v>597.61812127841768</v>
      </c>
      <c r="X39" s="38">
        <f>C39*Allocations!$B$9</f>
        <v>262038.21896163342</v>
      </c>
      <c r="Y39" s="83">
        <f t="shared" si="8"/>
        <v>763892.17756625754</v>
      </c>
      <c r="Z39" s="41"/>
      <c r="AA39" s="38"/>
      <c r="AB39" s="41"/>
      <c r="AC39" s="38"/>
      <c r="AD39" s="79"/>
      <c r="AE39" s="73"/>
      <c r="AF39" s="76">
        <v>434225.2</v>
      </c>
      <c r="AG39" s="77">
        <v>334988.40000000002</v>
      </c>
      <c r="AH39" s="79"/>
      <c r="AI39" s="73"/>
      <c r="AJ39" s="26"/>
      <c r="AK39" s="38"/>
      <c r="AL39" s="79"/>
      <c r="AM39" s="73"/>
      <c r="AN39" s="79"/>
      <c r="AO39" s="73"/>
      <c r="AP39" s="79"/>
      <c r="AQ39" s="73"/>
      <c r="AR39" s="79"/>
      <c r="AS39" s="38"/>
      <c r="AT39" s="26"/>
      <c r="AU39" s="38"/>
      <c r="AV39" s="24"/>
      <c r="AW39" s="66"/>
    </row>
    <row r="40" spans="1:49" ht="12.5">
      <c r="A40" s="27" t="s">
        <v>37</v>
      </c>
      <c r="B40" s="17">
        <v>36</v>
      </c>
      <c r="C40" s="124">
        <v>7.731289016129855E-3</v>
      </c>
      <c r="D40" s="159">
        <v>233157.42455242737</v>
      </c>
      <c r="E40" s="159">
        <v>255643.37897243904</v>
      </c>
      <c r="F40" s="131">
        <f>C40*Allocations!$B$6</f>
        <v>256037.0983471724</v>
      </c>
      <c r="G40" s="136">
        <f t="shared" si="13"/>
        <v>744837.90187203884</v>
      </c>
      <c r="H40" s="88">
        <f t="shared" si="14"/>
        <v>248279.30062401295</v>
      </c>
      <c r="I40" s="141">
        <v>-309437.36146485159</v>
      </c>
      <c r="J40" s="142">
        <f t="shared" si="6"/>
        <v>-53400.263117679191</v>
      </c>
      <c r="K40" s="155">
        <f t="shared" si="9"/>
        <v>0</v>
      </c>
      <c r="L40" s="155">
        <f t="shared" si="10"/>
        <v>0</v>
      </c>
      <c r="M40" s="155">
        <f t="shared" si="11"/>
        <v>-53400.263117679191</v>
      </c>
      <c r="N40" s="175">
        <f t="shared" si="15"/>
        <v>-0.21508141429215244</v>
      </c>
      <c r="O40" s="180">
        <f t="shared" si="7"/>
        <v>1482822.3269653553</v>
      </c>
      <c r="P40" s="51"/>
      <c r="Q40" s="21"/>
      <c r="R40" s="21"/>
      <c r="S40" s="21"/>
      <c r="T40" s="118">
        <f t="shared" si="3"/>
        <v>0</v>
      </c>
      <c r="U40" s="57">
        <f t="shared" si="16"/>
        <v>256037.0983471724</v>
      </c>
      <c r="V40" s="56">
        <f t="shared" si="17"/>
        <v>7.7726092668329418E-3</v>
      </c>
      <c r="W40" s="51">
        <f t="shared" si="12"/>
        <v>583.93165049796846</v>
      </c>
      <c r="X40" s="37">
        <f>C40*Allocations!$B$9</f>
        <v>256037.0983471724</v>
      </c>
      <c r="Y40" s="54">
        <f t="shared" si="8"/>
        <v>-52816.33146718124</v>
      </c>
      <c r="Z40" s="40"/>
      <c r="AA40" s="37"/>
      <c r="AB40" s="40"/>
      <c r="AC40" s="37"/>
      <c r="AD40" s="74"/>
      <c r="AE40" s="72"/>
      <c r="AF40" s="74"/>
      <c r="AG40" s="72"/>
      <c r="AH40" s="74"/>
      <c r="AI40" s="72"/>
      <c r="AJ40" s="74"/>
      <c r="AK40" s="72"/>
      <c r="AL40" s="74"/>
      <c r="AM40" s="72"/>
      <c r="AN40" s="18"/>
      <c r="AO40" s="37"/>
      <c r="AP40" s="74"/>
      <c r="AQ40" s="72"/>
      <c r="AR40" s="18"/>
      <c r="AS40" s="37"/>
      <c r="AT40" s="18"/>
      <c r="AU40" s="37"/>
      <c r="AV40" s="20"/>
      <c r="AW40" s="65"/>
    </row>
    <row r="41" spans="1:49" ht="12.5">
      <c r="A41" s="27" t="s">
        <v>38</v>
      </c>
      <c r="B41" s="17">
        <v>37</v>
      </c>
      <c r="C41" s="124">
        <v>6.2113896403918033E-3</v>
      </c>
      <c r="D41" s="159">
        <v>239590.84658744207</v>
      </c>
      <c r="E41" s="159">
        <v>234376.91494238636</v>
      </c>
      <c r="F41" s="131">
        <f>C41*Allocations!$B$6</f>
        <v>205702.59072085534</v>
      </c>
      <c r="G41" s="136">
        <f t="shared" si="13"/>
        <v>679670.35225068382</v>
      </c>
      <c r="H41" s="88">
        <f t="shared" si="14"/>
        <v>226556.78408356127</v>
      </c>
      <c r="I41" s="141">
        <v>669950.4969264674</v>
      </c>
      <c r="J41" s="142">
        <f t="shared" si="6"/>
        <v>875653.0876473228</v>
      </c>
      <c r="K41" s="155">
        <f t="shared" si="9"/>
        <v>0</v>
      </c>
      <c r="L41" s="155">
        <f t="shared" si="10"/>
        <v>0</v>
      </c>
      <c r="M41" s="155">
        <f t="shared" si="11"/>
        <v>875653.0876473228</v>
      </c>
      <c r="N41" s="175">
        <f t="shared" si="15"/>
        <v>3.8650490701013589</v>
      </c>
      <c r="O41" s="180">
        <f t="shared" si="7"/>
        <v>2109868.6319724545</v>
      </c>
      <c r="P41" s="50">
        <v>2094251.81</v>
      </c>
      <c r="Q41" s="129">
        <v>1675401.44</v>
      </c>
      <c r="R41" s="21"/>
      <c r="S41" s="21"/>
      <c r="T41" s="118">
        <f t="shared" si="3"/>
        <v>0</v>
      </c>
      <c r="U41" s="57">
        <f t="shared" si="16"/>
        <v>205702.59072085534</v>
      </c>
      <c r="V41" s="56">
        <f t="shared" si="17"/>
        <v>6.244586714853782E-3</v>
      </c>
      <c r="W41" s="51">
        <f t="shared" si="12"/>
        <v>469.13612943881287</v>
      </c>
      <c r="X41" s="37">
        <f>C41*Allocations!$B$9</f>
        <v>205702.59072085534</v>
      </c>
      <c r="Y41" s="54">
        <f t="shared" si="8"/>
        <v>876122.22377676144</v>
      </c>
      <c r="Z41" s="40"/>
      <c r="AA41" s="37"/>
      <c r="AB41" s="40"/>
      <c r="AC41" s="37"/>
      <c r="AD41" s="74"/>
      <c r="AE41" s="72"/>
      <c r="AF41" s="74"/>
      <c r="AG41" s="72"/>
      <c r="AH41" s="74"/>
      <c r="AI41" s="72"/>
      <c r="AJ41" s="74"/>
      <c r="AK41" s="72"/>
      <c r="AL41" s="74"/>
      <c r="AM41" s="72"/>
      <c r="AN41" s="18"/>
      <c r="AO41" s="37"/>
      <c r="AP41" s="74"/>
      <c r="AQ41" s="72"/>
      <c r="AR41" s="18"/>
      <c r="AS41" s="37"/>
      <c r="AT41" s="18"/>
      <c r="AU41" s="37"/>
      <c r="AV41" s="20"/>
      <c r="AW41" s="65"/>
    </row>
    <row r="42" spans="1:49" ht="12.5">
      <c r="A42" s="27" t="s">
        <v>39</v>
      </c>
      <c r="B42" s="17">
        <v>38</v>
      </c>
      <c r="C42" s="124">
        <v>9.6406059983279793E-3</v>
      </c>
      <c r="D42" s="159">
        <v>291197.91926745622</v>
      </c>
      <c r="E42" s="159">
        <v>318122.33256410301</v>
      </c>
      <c r="F42" s="131">
        <f>C42*Allocations!$B$6</f>
        <v>319267.94884662767</v>
      </c>
      <c r="G42" s="136">
        <f t="shared" si="13"/>
        <v>928588.20067818696</v>
      </c>
      <c r="H42" s="88">
        <f t="shared" si="14"/>
        <v>309529.40022606234</v>
      </c>
      <c r="I42" s="141">
        <v>703722.72149722558</v>
      </c>
      <c r="J42" s="142">
        <f t="shared" si="6"/>
        <v>1022990.6703438533</v>
      </c>
      <c r="K42" s="155">
        <f>Z42+AB42+AD42+AF42+AH42+AJ42+AL42+AN42+AP42+AR42+AT42+AV42</f>
        <v>980861.36</v>
      </c>
      <c r="L42" s="155">
        <f>AA42+AC42+AE42+AG42+AI42+AK42+AM42+AO42+AQ42+AS42+AU42+AW42</f>
        <v>784689.09000000008</v>
      </c>
      <c r="M42" s="155">
        <f t="shared" si="11"/>
        <v>238301.58034385322</v>
      </c>
      <c r="N42" s="175">
        <f t="shared" si="15"/>
        <v>0.76988350757573121</v>
      </c>
      <c r="O42" s="180">
        <f t="shared" si="7"/>
        <v>2153909.2734236191</v>
      </c>
      <c r="P42" s="51"/>
      <c r="Q42" s="21"/>
      <c r="R42" s="21"/>
      <c r="S42" s="21"/>
      <c r="T42" s="118">
        <f t="shared" si="3"/>
        <v>0</v>
      </c>
      <c r="U42" s="57">
        <f t="shared" si="16"/>
        <v>319267.94884662767</v>
      </c>
      <c r="V42" s="56">
        <f t="shared" si="17"/>
        <v>9.6921306866366817E-3</v>
      </c>
      <c r="W42" s="51">
        <f t="shared" si="12"/>
        <v>728.13924827535106</v>
      </c>
      <c r="X42" s="37">
        <f>C42*Allocations!$B$9</f>
        <v>319267.94884662767</v>
      </c>
      <c r="Y42" s="54">
        <f t="shared" si="8"/>
        <v>239029.71959212853</v>
      </c>
      <c r="Z42" s="40"/>
      <c r="AA42" s="37"/>
      <c r="AB42" s="84"/>
      <c r="AC42" s="72"/>
      <c r="AD42" s="74"/>
      <c r="AE42" s="72"/>
      <c r="AF42" s="75">
        <v>42832.5</v>
      </c>
      <c r="AG42" s="36">
        <f>AF42*0.8</f>
        <v>34266</v>
      </c>
      <c r="AH42" s="74"/>
      <c r="AI42" s="72"/>
      <c r="AJ42" s="18"/>
      <c r="AK42" s="37"/>
      <c r="AL42" s="74">
        <v>350336.72</v>
      </c>
      <c r="AM42" s="72">
        <v>280269.38</v>
      </c>
      <c r="AN42" s="18"/>
      <c r="AO42" s="37"/>
      <c r="AP42" s="74"/>
      <c r="AQ42" s="72"/>
      <c r="AR42" s="18"/>
      <c r="AS42" s="37"/>
      <c r="AT42" s="74">
        <v>587692.14</v>
      </c>
      <c r="AU42" s="72">
        <v>470153.71</v>
      </c>
      <c r="AV42" s="20"/>
      <c r="AW42" s="65"/>
    </row>
    <row r="43" spans="1:49" ht="12.5">
      <c r="A43" s="27" t="s">
        <v>40</v>
      </c>
      <c r="B43" s="17">
        <v>39</v>
      </c>
      <c r="C43" s="124">
        <v>1.2220511657179713E-2</v>
      </c>
      <c r="D43" s="159">
        <v>366781.80915379664</v>
      </c>
      <c r="E43" s="159">
        <v>386525.38954982348</v>
      </c>
      <c r="F43" s="131">
        <f>C43*Allocations!$B$6</f>
        <v>404706.68455082056</v>
      </c>
      <c r="G43" s="136">
        <f t="shared" si="13"/>
        <v>1158013.8832544407</v>
      </c>
      <c r="H43" s="88">
        <f t="shared" si="14"/>
        <v>386004.62775148026</v>
      </c>
      <c r="I43" s="141">
        <v>674882.34174019634</v>
      </c>
      <c r="J43" s="142">
        <f t="shared" si="6"/>
        <v>1079589.026291017</v>
      </c>
      <c r="K43" s="155">
        <f t="shared" si="9"/>
        <v>0</v>
      </c>
      <c r="L43" s="155">
        <f t="shared" si="10"/>
        <v>0</v>
      </c>
      <c r="M43" s="155">
        <f t="shared" si="11"/>
        <v>1079589.026291017</v>
      </c>
      <c r="N43" s="175">
        <f t="shared" si="15"/>
        <v>2.7968292312445646</v>
      </c>
      <c r="O43" s="180">
        <f t="shared" si="7"/>
        <v>3507829.1335959402</v>
      </c>
      <c r="P43" s="51"/>
      <c r="Q43" s="21"/>
      <c r="R43" s="21"/>
      <c r="S43" s="21"/>
      <c r="T43" s="118">
        <f t="shared" si="3"/>
        <v>0</v>
      </c>
      <c r="U43" s="57">
        <f t="shared" si="16"/>
        <v>404706.68455082056</v>
      </c>
      <c r="V43" s="56">
        <f t="shared" si="17"/>
        <v>1.2285824776937772E-2</v>
      </c>
      <c r="W43" s="51">
        <f t="shared" si="12"/>
        <v>922.99531514328748</v>
      </c>
      <c r="X43" s="37">
        <f>C43*Allocations!$B$9</f>
        <v>404706.68455082056</v>
      </c>
      <c r="Y43" s="54">
        <f t="shared" si="8"/>
        <v>1080512.0216061601</v>
      </c>
      <c r="Z43" s="40"/>
      <c r="AA43" s="37"/>
      <c r="AB43" s="40"/>
      <c r="AC43" s="37"/>
      <c r="AD43" s="74"/>
      <c r="AE43" s="72"/>
      <c r="AF43" s="74"/>
      <c r="AG43" s="72"/>
      <c r="AH43" s="74"/>
      <c r="AI43" s="72"/>
      <c r="AJ43" s="18"/>
      <c r="AK43" s="37"/>
      <c r="AL43" s="74"/>
      <c r="AM43" s="72"/>
      <c r="AN43" s="18"/>
      <c r="AO43" s="37"/>
      <c r="AP43" s="74"/>
      <c r="AQ43" s="72"/>
      <c r="AR43" s="18"/>
      <c r="AS43" s="37"/>
      <c r="AT43" s="18"/>
      <c r="AU43" s="37"/>
      <c r="AV43" s="20"/>
      <c r="AW43" s="65"/>
    </row>
    <row r="44" spans="1:49" ht="12.5">
      <c r="A44" s="22" t="s">
        <v>41</v>
      </c>
      <c r="B44" s="23">
        <v>40</v>
      </c>
      <c r="C44" s="125">
        <v>8.526300066355649E-3</v>
      </c>
      <c r="D44" s="160">
        <v>209388.89177626802</v>
      </c>
      <c r="E44" s="160">
        <v>278321.95271587447</v>
      </c>
      <c r="F44" s="132">
        <f>C44*Allocations!$B$6</f>
        <v>282365.47929750005</v>
      </c>
      <c r="G44" s="137">
        <f t="shared" si="13"/>
        <v>770076.32378964254</v>
      </c>
      <c r="H44" s="111">
        <f t="shared" si="14"/>
        <v>256692.10792988085</v>
      </c>
      <c r="I44" s="143">
        <v>348245.48966680525</v>
      </c>
      <c r="J44" s="144">
        <f t="shared" si="6"/>
        <v>630610.96896430524</v>
      </c>
      <c r="K44" s="156">
        <f t="shared" si="9"/>
        <v>0</v>
      </c>
      <c r="L44" s="156">
        <f t="shared" si="10"/>
        <v>0</v>
      </c>
      <c r="M44" s="156">
        <f t="shared" si="11"/>
        <v>630610.96896430524</v>
      </c>
      <c r="N44" s="176">
        <f t="shared" si="15"/>
        <v>2.4566823423202622</v>
      </c>
      <c r="O44" s="181">
        <f t="shared" si="7"/>
        <v>2324803.8447493054</v>
      </c>
      <c r="P44" s="52"/>
      <c r="Q44" s="25"/>
      <c r="R44" s="25"/>
      <c r="S44" s="25"/>
      <c r="T44" s="119">
        <f t="shared" si="3"/>
        <v>0</v>
      </c>
      <c r="U44" s="58">
        <f t="shared" si="16"/>
        <v>282365.47929750005</v>
      </c>
      <c r="V44" s="59">
        <f t="shared" si="17"/>
        <v>8.5718692923380871E-3</v>
      </c>
      <c r="W44" s="52">
        <f t="shared" si="12"/>
        <v>643.97753854508971</v>
      </c>
      <c r="X44" s="38">
        <f>C44*Allocations!$B$9</f>
        <v>282365.47929750005</v>
      </c>
      <c r="Y44" s="83">
        <f t="shared" si="8"/>
        <v>631254.94650285039</v>
      </c>
      <c r="Z44" s="41"/>
      <c r="AA44" s="38"/>
      <c r="AB44" s="85"/>
      <c r="AC44" s="73"/>
      <c r="AD44" s="79"/>
      <c r="AE44" s="73"/>
      <c r="AF44" s="76"/>
      <c r="AG44" s="77"/>
      <c r="AH44" s="79"/>
      <c r="AI44" s="73"/>
      <c r="AJ44" s="26"/>
      <c r="AK44" s="38"/>
      <c r="AL44" s="79"/>
      <c r="AM44" s="73"/>
      <c r="AN44" s="26"/>
      <c r="AO44" s="38"/>
      <c r="AP44" s="79"/>
      <c r="AQ44" s="73"/>
      <c r="AR44" s="26"/>
      <c r="AS44" s="38"/>
      <c r="AT44" s="26"/>
      <c r="AU44" s="38"/>
      <c r="AV44" s="108"/>
      <c r="AW44" s="109"/>
    </row>
    <row r="45" spans="1:49" ht="12.5">
      <c r="A45" s="27" t="s">
        <v>42</v>
      </c>
      <c r="B45" s="17">
        <v>41</v>
      </c>
      <c r="C45" s="124">
        <v>7.3504382284375501E-3</v>
      </c>
      <c r="D45" s="159">
        <v>261663.96811122497</v>
      </c>
      <c r="E45" s="159">
        <v>254469.22482236143</v>
      </c>
      <c r="F45" s="131">
        <f>C45*Allocations!$B$6</f>
        <v>243424.46281116633</v>
      </c>
      <c r="G45" s="136">
        <f t="shared" si="13"/>
        <v>759557.65574475273</v>
      </c>
      <c r="H45" s="88">
        <f t="shared" si="14"/>
        <v>253185.88524825091</v>
      </c>
      <c r="I45" s="141">
        <v>-1117791.2398799043</v>
      </c>
      <c r="J45" s="142">
        <f t="shared" si="6"/>
        <v>-874366.77706873801</v>
      </c>
      <c r="K45" s="155">
        <f t="shared" si="9"/>
        <v>652280.46</v>
      </c>
      <c r="L45" s="155">
        <f t="shared" si="10"/>
        <v>521824.37</v>
      </c>
      <c r="M45" s="155">
        <f t="shared" si="11"/>
        <v>-1396191.147068738</v>
      </c>
      <c r="N45" s="175">
        <f t="shared" si="15"/>
        <v>-5.5144904531299632</v>
      </c>
      <c r="O45" s="180">
        <f t="shared" si="7"/>
        <v>64355.629798260052</v>
      </c>
      <c r="P45" s="51"/>
      <c r="Q45" s="21"/>
      <c r="R45" s="21"/>
      <c r="S45" s="21"/>
      <c r="T45" s="118">
        <f t="shared" si="3"/>
        <v>0</v>
      </c>
      <c r="U45" s="57">
        <f t="shared" si="16"/>
        <v>243424.46281116633</v>
      </c>
      <c r="V45" s="56">
        <f t="shared" si="17"/>
        <v>7.3897230035562828E-3</v>
      </c>
      <c r="W45" s="51">
        <f t="shared" si="12"/>
        <v>555.16661162972241</v>
      </c>
      <c r="X45" s="37">
        <f>C45*Allocations!$B$9</f>
        <v>243424.46281116633</v>
      </c>
      <c r="Y45" s="54">
        <f t="shared" si="8"/>
        <v>-1395635.9804571082</v>
      </c>
      <c r="Z45" s="40"/>
      <c r="AA45" s="37"/>
      <c r="AB45" s="84"/>
      <c r="AC45" s="72"/>
      <c r="AD45" s="74"/>
      <c r="AE45" s="72"/>
      <c r="AF45" s="75"/>
      <c r="AG45" s="36"/>
      <c r="AH45" s="74">
        <v>652280.46</v>
      </c>
      <c r="AI45" s="72">
        <v>521824.37</v>
      </c>
      <c r="AJ45" s="74"/>
      <c r="AK45" s="72"/>
      <c r="AL45" s="74"/>
      <c r="AM45" s="72"/>
      <c r="AN45" s="74"/>
      <c r="AO45" s="72"/>
      <c r="AP45" s="74"/>
      <c r="AQ45" s="72"/>
      <c r="AR45" s="74"/>
      <c r="AS45" s="72"/>
      <c r="AT45" s="18"/>
      <c r="AU45" s="37"/>
      <c r="AV45" s="20"/>
      <c r="AW45" s="65"/>
    </row>
    <row r="46" spans="1:49" ht="12.5">
      <c r="A46" s="27" t="s">
        <v>43</v>
      </c>
      <c r="B46" s="17">
        <v>42</v>
      </c>
      <c r="C46" s="124">
        <v>1.0310745094643088E-2</v>
      </c>
      <c r="D46" s="159">
        <v>342201.94699313829</v>
      </c>
      <c r="E46" s="159">
        <v>341204.89373898489</v>
      </c>
      <c r="F46" s="131">
        <f>C46*Allocations!$B$6</f>
        <v>341460.94529929513</v>
      </c>
      <c r="G46" s="136">
        <f t="shared" si="13"/>
        <v>1024867.7860314184</v>
      </c>
      <c r="H46" s="88">
        <f t="shared" si="14"/>
        <v>341622.59534380614</v>
      </c>
      <c r="I46" s="141">
        <v>-96525.737437306321</v>
      </c>
      <c r="J46" s="142">
        <f t="shared" si="6"/>
        <v>244935.20786198881</v>
      </c>
      <c r="K46" s="155">
        <f t="shared" si="9"/>
        <v>1274757.19</v>
      </c>
      <c r="L46" s="155">
        <f t="shared" si="10"/>
        <v>1019805.75</v>
      </c>
      <c r="M46" s="155">
        <f t="shared" si="11"/>
        <v>-774870.54213801119</v>
      </c>
      <c r="N46" s="175">
        <f t="shared" si="15"/>
        <v>-2.2682063560760315</v>
      </c>
      <c r="O46" s="180">
        <f t="shared" si="7"/>
        <v>1273895.1296577596</v>
      </c>
      <c r="P46" s="51"/>
      <c r="Q46" s="21"/>
      <c r="R46" s="21"/>
      <c r="S46" s="21"/>
      <c r="T46" s="118">
        <f t="shared" si="3"/>
        <v>0</v>
      </c>
      <c r="U46" s="57">
        <f t="shared" si="16"/>
        <v>341460.94529929513</v>
      </c>
      <c r="V46" s="56">
        <f t="shared" si="17"/>
        <v>1.0365851373991514E-2</v>
      </c>
      <c r="W46" s="51">
        <f t="shared" si="12"/>
        <v>778.75376129615438</v>
      </c>
      <c r="X46" s="37">
        <f>C46*Allocations!$B$9</f>
        <v>341460.94529929513</v>
      </c>
      <c r="Y46" s="54">
        <f t="shared" si="8"/>
        <v>-774091.78837671515</v>
      </c>
      <c r="Z46" s="40"/>
      <c r="AA46" s="37"/>
      <c r="AB46" s="84"/>
      <c r="AC46" s="72"/>
      <c r="AD46" s="74"/>
      <c r="AE46" s="72"/>
      <c r="AF46" s="74"/>
      <c r="AG46" s="72"/>
      <c r="AH46" s="74">
        <v>760000</v>
      </c>
      <c r="AI46" s="72">
        <v>608000</v>
      </c>
      <c r="AJ46" s="18"/>
      <c r="AK46" s="37"/>
      <c r="AL46" s="74"/>
      <c r="AM46" s="72"/>
      <c r="AN46" s="18"/>
      <c r="AO46" s="37"/>
      <c r="AP46" s="74"/>
      <c r="AQ46" s="72"/>
      <c r="AR46" s="18"/>
      <c r="AS46" s="37"/>
      <c r="AT46" s="18"/>
      <c r="AU46" s="37"/>
      <c r="AV46" s="91">
        <v>514757.19</v>
      </c>
      <c r="AW46" s="92">
        <v>411805.75</v>
      </c>
    </row>
    <row r="47" spans="1:49" ht="12.5">
      <c r="A47" s="27" t="s">
        <v>44</v>
      </c>
      <c r="B47" s="17">
        <v>43</v>
      </c>
      <c r="C47" s="124">
        <v>1.1844698075046367E-2</v>
      </c>
      <c r="D47" s="159">
        <v>388794.69541404617</v>
      </c>
      <c r="E47" s="159">
        <v>375482.94691782707</v>
      </c>
      <c r="F47" s="131">
        <f>C47*Allocations!$B$6</f>
        <v>392260.86615131056</v>
      </c>
      <c r="G47" s="136">
        <f t="shared" si="13"/>
        <v>1156538.5084831838</v>
      </c>
      <c r="H47" s="88">
        <f t="shared" si="14"/>
        <v>385512.83616106125</v>
      </c>
      <c r="I47" s="141">
        <v>1151185.5506321404</v>
      </c>
      <c r="J47" s="142">
        <f t="shared" si="6"/>
        <v>1543446.4167834509</v>
      </c>
      <c r="K47" s="155">
        <f t="shared" si="9"/>
        <v>830761.31</v>
      </c>
      <c r="L47" s="155">
        <f t="shared" si="10"/>
        <v>664609.1</v>
      </c>
      <c r="M47" s="155">
        <f t="shared" si="11"/>
        <v>878837.31678345089</v>
      </c>
      <c r="N47" s="175">
        <f t="shared" si="15"/>
        <v>2.2796577295192484</v>
      </c>
      <c r="O47" s="180">
        <f t="shared" si="7"/>
        <v>3232402.5136913145</v>
      </c>
      <c r="P47" s="51"/>
      <c r="Q47" s="21"/>
      <c r="R47" s="21"/>
      <c r="S47" s="21"/>
      <c r="T47" s="118">
        <f t="shared" si="3"/>
        <v>0</v>
      </c>
      <c r="U47" s="57">
        <f t="shared" si="16"/>
        <v>392260.86615131056</v>
      </c>
      <c r="V47" s="56">
        <f t="shared" si="17"/>
        <v>1.1908002640810524E-2</v>
      </c>
      <c r="W47" s="51">
        <f t="shared" si="12"/>
        <v>894.61072819577612</v>
      </c>
      <c r="X47" s="37">
        <f>C47*Allocations!$B$9</f>
        <v>392260.86615131056</v>
      </c>
      <c r="Y47" s="54">
        <f t="shared" si="8"/>
        <v>879731.92751164665</v>
      </c>
      <c r="Z47" s="40"/>
      <c r="AA47" s="37"/>
      <c r="AB47" s="84">
        <v>830761.31</v>
      </c>
      <c r="AC47" s="72">
        <v>664609.1</v>
      </c>
      <c r="AD47" s="74"/>
      <c r="AE47" s="72"/>
      <c r="AF47" s="75"/>
      <c r="AG47" s="36"/>
      <c r="AH47" s="74"/>
      <c r="AI47" s="72"/>
      <c r="AJ47" s="18"/>
      <c r="AK47" s="37"/>
      <c r="AL47" s="74"/>
      <c r="AM47" s="72"/>
      <c r="AN47" s="18"/>
      <c r="AO47" s="37"/>
      <c r="AP47" s="74"/>
      <c r="AQ47" s="72"/>
      <c r="AR47" s="18"/>
      <c r="AS47" s="37"/>
      <c r="AT47" s="18"/>
      <c r="AU47" s="37"/>
      <c r="AV47" s="20"/>
      <c r="AW47" s="65"/>
    </row>
    <row r="48" spans="1:49" ht="12.5">
      <c r="A48" s="27" t="s">
        <v>45</v>
      </c>
      <c r="B48" s="17">
        <v>44</v>
      </c>
      <c r="C48" s="124">
        <v>5.9882980662849953E-3</v>
      </c>
      <c r="D48" s="159">
        <v>212605.78420608825</v>
      </c>
      <c r="E48" s="159">
        <v>211324.75059871891</v>
      </c>
      <c r="F48" s="131">
        <f>C48*Allocations!$B$6</f>
        <v>198314.46706116019</v>
      </c>
      <c r="G48" s="136">
        <f t="shared" si="13"/>
        <v>622245.00186596741</v>
      </c>
      <c r="H48" s="88">
        <f t="shared" si="14"/>
        <v>207415.00062198914</v>
      </c>
      <c r="I48" s="141">
        <v>240118.86069166969</v>
      </c>
      <c r="J48" s="142">
        <f t="shared" si="6"/>
        <v>438433.32775282988</v>
      </c>
      <c r="K48" s="155">
        <f t="shared" si="9"/>
        <v>499637.8</v>
      </c>
      <c r="L48" s="155">
        <f t="shared" si="10"/>
        <v>399710.23</v>
      </c>
      <c r="M48" s="155">
        <f t="shared" si="11"/>
        <v>38723.097752829897</v>
      </c>
      <c r="N48" s="175">
        <f t="shared" si="15"/>
        <v>0.18669381499268795</v>
      </c>
      <c r="O48" s="180">
        <f t="shared" si="7"/>
        <v>1228609.9001197913</v>
      </c>
      <c r="P48" s="51"/>
      <c r="Q48" s="21"/>
      <c r="R48" s="21"/>
      <c r="S48" s="21"/>
      <c r="T48" s="118">
        <f t="shared" si="3"/>
        <v>0</v>
      </c>
      <c r="U48" s="57">
        <f t="shared" si="16"/>
        <v>198314.46706116019</v>
      </c>
      <c r="V48" s="56">
        <f t="shared" si="17"/>
        <v>6.0203028169633719E-3</v>
      </c>
      <c r="W48" s="51">
        <f t="shared" si="12"/>
        <v>452.28638668458473</v>
      </c>
      <c r="X48" s="37">
        <f>C48*Allocations!$B$9</f>
        <v>198314.46706116019</v>
      </c>
      <c r="Y48" s="54">
        <f t="shared" si="8"/>
        <v>39175.38413951447</v>
      </c>
      <c r="Z48" s="40"/>
      <c r="AA48" s="37"/>
      <c r="AB48" s="40"/>
      <c r="AC48" s="37"/>
      <c r="AD48" s="74"/>
      <c r="AE48" s="72"/>
      <c r="AF48" s="74">
        <v>499637.8</v>
      </c>
      <c r="AG48" s="72">
        <v>399710.23</v>
      </c>
      <c r="AH48" s="74"/>
      <c r="AI48" s="72"/>
      <c r="AJ48" s="18"/>
      <c r="AK48" s="37"/>
      <c r="AL48" s="74"/>
      <c r="AM48" s="72"/>
      <c r="AN48" s="18"/>
      <c r="AO48" s="37"/>
      <c r="AP48" s="74"/>
      <c r="AQ48" s="72"/>
      <c r="AR48" s="18"/>
      <c r="AS48" s="37"/>
      <c r="AT48" s="18"/>
      <c r="AU48" s="37"/>
      <c r="AV48" s="20"/>
      <c r="AW48" s="65"/>
    </row>
    <row r="49" spans="1:50" ht="12.5">
      <c r="A49" s="22" t="s">
        <v>46</v>
      </c>
      <c r="B49" s="23">
        <v>45</v>
      </c>
      <c r="C49" s="125">
        <v>7.7180938863928381E-3</v>
      </c>
      <c r="D49" s="160">
        <v>245130.91405278878</v>
      </c>
      <c r="E49" s="160">
        <v>272114.49201944558</v>
      </c>
      <c r="F49" s="132">
        <f>C49*Allocations!$B$6</f>
        <v>255600.11523567163</v>
      </c>
      <c r="G49" s="137">
        <f t="shared" si="13"/>
        <v>772845.52130790602</v>
      </c>
      <c r="H49" s="111">
        <f t="shared" si="14"/>
        <v>257615.173769302</v>
      </c>
      <c r="I49" s="143">
        <v>424146.06843434629</v>
      </c>
      <c r="J49" s="144">
        <f t="shared" si="6"/>
        <v>679746.18367001787</v>
      </c>
      <c r="K49" s="156">
        <f t="shared" si="9"/>
        <v>0</v>
      </c>
      <c r="L49" s="156">
        <f t="shared" si="10"/>
        <v>0</v>
      </c>
      <c r="M49" s="156">
        <f t="shared" si="11"/>
        <v>679746.18367001787</v>
      </c>
      <c r="N49" s="176">
        <f t="shared" si="15"/>
        <v>2.6386108152105208</v>
      </c>
      <c r="O49" s="181">
        <f t="shared" si="7"/>
        <v>2213346.8750840477</v>
      </c>
      <c r="P49" s="52"/>
      <c r="Q49" s="25"/>
      <c r="R49" s="25"/>
      <c r="S49" s="25"/>
      <c r="T49" s="119">
        <f t="shared" si="3"/>
        <v>0</v>
      </c>
      <c r="U49" s="58">
        <f t="shared" si="16"/>
        <v>255600.11523567163</v>
      </c>
      <c r="V49" s="59">
        <f t="shared" si="17"/>
        <v>7.7593436150823697E-3</v>
      </c>
      <c r="W49" s="52">
        <f t="shared" si="12"/>
        <v>582.93504386875099</v>
      </c>
      <c r="X49" s="38">
        <f>C49*Allocations!$B$9</f>
        <v>255600.11523567163</v>
      </c>
      <c r="Y49" s="83">
        <f t="shared" si="8"/>
        <v>680329.11871388671</v>
      </c>
      <c r="Z49" s="41"/>
      <c r="AA49" s="38"/>
      <c r="AB49" s="41"/>
      <c r="AC49" s="38"/>
      <c r="AD49" s="79"/>
      <c r="AE49" s="73"/>
      <c r="AF49" s="79"/>
      <c r="AG49" s="73"/>
      <c r="AH49" s="79"/>
      <c r="AI49" s="73"/>
      <c r="AJ49" s="26"/>
      <c r="AK49" s="38"/>
      <c r="AL49" s="79"/>
      <c r="AM49" s="73"/>
      <c r="AN49" s="79"/>
      <c r="AO49" s="73"/>
      <c r="AP49" s="79"/>
      <c r="AQ49" s="73"/>
      <c r="AR49" s="79"/>
      <c r="AS49" s="73"/>
      <c r="AT49" s="26"/>
      <c r="AU49" s="38"/>
      <c r="AV49" s="24"/>
      <c r="AW49" s="66"/>
    </row>
    <row r="50" spans="1:50" ht="12.5">
      <c r="A50" s="27" t="s">
        <v>47</v>
      </c>
      <c r="B50" s="17">
        <v>46</v>
      </c>
      <c r="C50" s="124">
        <v>3.9835283956785985E-3</v>
      </c>
      <c r="D50" s="159">
        <v>146702.5144524338</v>
      </c>
      <c r="E50" s="159">
        <v>143906.3859514131</v>
      </c>
      <c r="F50" s="131">
        <f>C50*Allocations!$B$6</f>
        <v>131922.50987968815</v>
      </c>
      <c r="G50" s="136">
        <f t="shared" si="13"/>
        <v>422531.41028353502</v>
      </c>
      <c r="H50" s="88">
        <f t="shared" si="14"/>
        <v>140843.80342784501</v>
      </c>
      <c r="I50" s="141">
        <v>77659.514254262423</v>
      </c>
      <c r="J50" s="142">
        <f t="shared" si="6"/>
        <v>209582.02413395059</v>
      </c>
      <c r="K50" s="155">
        <f t="shared" si="9"/>
        <v>110420</v>
      </c>
      <c r="L50" s="155">
        <f t="shared" si="10"/>
        <v>88336</v>
      </c>
      <c r="M50" s="155">
        <f t="shared" si="11"/>
        <v>121246.02413395059</v>
      </c>
      <c r="N50" s="175">
        <f t="shared" si="15"/>
        <v>0.86085451530755874</v>
      </c>
      <c r="O50" s="180">
        <f t="shared" si="7"/>
        <v>912781.08341207949</v>
      </c>
      <c r="P50" s="51"/>
      <c r="Q50" s="21"/>
      <c r="R50" s="21"/>
      <c r="S50" s="21"/>
      <c r="T50" s="118">
        <f t="shared" si="3"/>
        <v>0</v>
      </c>
      <c r="U50" s="57">
        <f t="shared" si="16"/>
        <v>131922.50987968815</v>
      </c>
      <c r="V50" s="56">
        <f t="shared" si="17"/>
        <v>4.0048185572090882E-3</v>
      </c>
      <c r="W50" s="51">
        <f t="shared" si="12"/>
        <v>300.8694030246636</v>
      </c>
      <c r="X50" s="37">
        <f>C50*Allocations!$B$9</f>
        <v>131922.50987968815</v>
      </c>
      <c r="Y50" s="54">
        <f t="shared" si="8"/>
        <v>121546.89353697524</v>
      </c>
      <c r="Z50" s="40"/>
      <c r="AA50" s="37"/>
      <c r="AB50" s="40"/>
      <c r="AC50" s="37"/>
      <c r="AD50" s="74"/>
      <c r="AE50" s="72"/>
      <c r="AF50" s="75"/>
      <c r="AG50" s="36"/>
      <c r="AH50" s="74"/>
      <c r="AI50" s="72"/>
      <c r="AJ50" s="74">
        <v>110420</v>
      </c>
      <c r="AK50" s="72">
        <v>88336</v>
      </c>
      <c r="AL50" s="74"/>
      <c r="AM50" s="72"/>
      <c r="AN50" s="18"/>
      <c r="AO50" s="37"/>
      <c r="AP50" s="74"/>
      <c r="AQ50" s="72"/>
      <c r="AR50" s="18"/>
      <c r="AS50" s="37"/>
      <c r="AT50" s="18"/>
      <c r="AU50" s="37"/>
      <c r="AV50" s="20"/>
      <c r="AW50" s="65"/>
    </row>
    <row r="51" spans="1:50" ht="12.5">
      <c r="A51" s="27" t="s">
        <v>48</v>
      </c>
      <c r="B51" s="17">
        <v>47</v>
      </c>
      <c r="C51" s="124">
        <v>4.8918088873496123E-3</v>
      </c>
      <c r="D51" s="159">
        <v>187518.3321350503</v>
      </c>
      <c r="E51" s="159">
        <v>166640.42748741544</v>
      </c>
      <c r="F51" s="131">
        <f>C51*Allocations!$B$6</f>
        <v>162002.0349223571</v>
      </c>
      <c r="G51" s="136">
        <f t="shared" si="13"/>
        <v>516160.79454482277</v>
      </c>
      <c r="H51" s="88">
        <f t="shared" si="14"/>
        <v>172053.59818160758</v>
      </c>
      <c r="I51" s="141">
        <v>-466892.02242006647</v>
      </c>
      <c r="J51" s="142">
        <f t="shared" si="6"/>
        <v>-304889.98749770934</v>
      </c>
      <c r="K51" s="155">
        <f t="shared" si="9"/>
        <v>0</v>
      </c>
      <c r="L51" s="155">
        <f t="shared" si="10"/>
        <v>0</v>
      </c>
      <c r="M51" s="155">
        <f t="shared" si="11"/>
        <v>-304889.98749770934</v>
      </c>
      <c r="N51" s="175">
        <f t="shared" si="15"/>
        <v>-1.7720640005208672</v>
      </c>
      <c r="O51" s="180">
        <f t="shared" si="7"/>
        <v>667122.22203643329</v>
      </c>
      <c r="P51" s="51"/>
      <c r="Q51" s="21"/>
      <c r="R51" s="21"/>
      <c r="S51" s="21"/>
      <c r="T51" s="118">
        <f t="shared" si="3"/>
        <v>0</v>
      </c>
      <c r="U51" s="57">
        <f t="shared" si="16"/>
        <v>162002.0349223571</v>
      </c>
      <c r="V51" s="56">
        <f t="shared" si="17"/>
        <v>4.9179533982061027E-3</v>
      </c>
      <c r="W51" s="51">
        <f t="shared" si="12"/>
        <v>369.47034725402017</v>
      </c>
      <c r="X51" s="37">
        <f>C51*Allocations!$B$9</f>
        <v>162002.0349223571</v>
      </c>
      <c r="Y51" s="54">
        <f t="shared" si="8"/>
        <v>-304520.51715045539</v>
      </c>
      <c r="Z51" s="40"/>
      <c r="AA51" s="37"/>
      <c r="AB51" s="84"/>
      <c r="AC51" s="72"/>
      <c r="AD51" s="74"/>
      <c r="AE51" s="72"/>
      <c r="AF51" s="74"/>
      <c r="AG51" s="72"/>
      <c r="AH51" s="74"/>
      <c r="AI51" s="72"/>
      <c r="AJ51" s="74"/>
      <c r="AK51" s="72"/>
      <c r="AL51" s="74"/>
      <c r="AM51" s="72"/>
      <c r="AN51" s="18"/>
      <c r="AO51" s="37"/>
      <c r="AP51" s="74"/>
      <c r="AQ51" s="72"/>
      <c r="AR51" s="18"/>
      <c r="AS51" s="37"/>
      <c r="AT51" s="18"/>
      <c r="AU51" s="37"/>
      <c r="AV51" s="20"/>
      <c r="AW51" s="65"/>
      <c r="AX51" s="123"/>
    </row>
    <row r="52" spans="1:50" ht="12.5">
      <c r="A52" s="27" t="s">
        <v>49</v>
      </c>
      <c r="B52" s="17">
        <v>48</v>
      </c>
      <c r="C52" s="124">
        <v>1.340161959808484E-2</v>
      </c>
      <c r="D52" s="159">
        <v>482535.21945154568</v>
      </c>
      <c r="E52" s="159">
        <v>466553.8109401674</v>
      </c>
      <c r="F52" s="131">
        <f>C52*Allocations!$B$6</f>
        <v>443821.43622977566</v>
      </c>
      <c r="G52" s="136">
        <f t="shared" si="13"/>
        <v>1392910.4666214888</v>
      </c>
      <c r="H52" s="88">
        <f t="shared" si="14"/>
        <v>464303.4888738296</v>
      </c>
      <c r="I52" s="141">
        <v>1243522.418801575</v>
      </c>
      <c r="J52" s="142">
        <f t="shared" si="6"/>
        <v>1687343.8550313506</v>
      </c>
      <c r="K52" s="155">
        <f t="shared" si="9"/>
        <v>505146.75</v>
      </c>
      <c r="L52" s="155">
        <f t="shared" si="10"/>
        <v>404117.4</v>
      </c>
      <c r="M52" s="155">
        <f t="shared" si="11"/>
        <v>1283226.4550313507</v>
      </c>
      <c r="N52" s="175">
        <f t="shared" si="15"/>
        <v>2.7637665573950838</v>
      </c>
      <c r="O52" s="180">
        <f t="shared" si="7"/>
        <v>3946155.0724100047</v>
      </c>
      <c r="P52" s="51"/>
      <c r="Q52" s="21"/>
      <c r="R52" s="21"/>
      <c r="S52" s="21"/>
      <c r="T52" s="118">
        <f t="shared" si="3"/>
        <v>0</v>
      </c>
      <c r="U52" s="57">
        <f t="shared" si="16"/>
        <v>443821.43622977566</v>
      </c>
      <c r="V52" s="56">
        <f t="shared" si="17"/>
        <v>1.3473245206759533E-2</v>
      </c>
      <c r="W52" s="51">
        <f t="shared" si="12"/>
        <v>1012.2024716614425</v>
      </c>
      <c r="X52" s="37">
        <f>C52*Allocations!$B$9</f>
        <v>443821.43622977566</v>
      </c>
      <c r="Y52" s="54">
        <f t="shared" si="8"/>
        <v>1284238.6575030121</v>
      </c>
      <c r="Z52" s="40"/>
      <c r="AA52" s="37"/>
      <c r="AB52" s="97"/>
      <c r="AC52" s="88"/>
      <c r="AD52" s="74"/>
      <c r="AE52" s="72"/>
      <c r="AF52" s="74"/>
      <c r="AG52" s="72"/>
      <c r="AH52" s="74">
        <v>505146.75</v>
      </c>
      <c r="AI52" s="72">
        <v>404117.4</v>
      </c>
      <c r="AJ52" s="18"/>
      <c r="AK52" s="37"/>
      <c r="AL52" s="74"/>
      <c r="AM52" s="72"/>
      <c r="AN52" s="18"/>
      <c r="AO52" s="37"/>
      <c r="AP52" s="74"/>
      <c r="AQ52" s="72"/>
      <c r="AR52" s="74"/>
      <c r="AS52" s="72"/>
      <c r="AT52" s="18"/>
      <c r="AU52" s="37"/>
      <c r="AV52" s="20"/>
      <c r="AW52" s="65"/>
    </row>
    <row r="53" spans="1:50" ht="12.5">
      <c r="A53" s="27" t="s">
        <v>50</v>
      </c>
      <c r="B53" s="17">
        <v>49</v>
      </c>
      <c r="C53" s="124">
        <v>9.3552024573718244E-3</v>
      </c>
      <c r="D53" s="159">
        <v>308083.45579953282</v>
      </c>
      <c r="E53" s="159">
        <v>331292.92357172963</v>
      </c>
      <c r="F53" s="131">
        <f>C53*Allocations!$B$6</f>
        <v>309816.23978078272</v>
      </c>
      <c r="G53" s="136">
        <f t="shared" si="13"/>
        <v>949192.61915204511</v>
      </c>
      <c r="H53" s="88">
        <f t="shared" si="14"/>
        <v>316397.53971734835</v>
      </c>
      <c r="I53" s="141">
        <v>529524.07381611736</v>
      </c>
      <c r="J53" s="142">
        <f t="shared" si="6"/>
        <v>839340.31359690009</v>
      </c>
      <c r="K53" s="155">
        <f t="shared" si="9"/>
        <v>718573.17</v>
      </c>
      <c r="L53" s="155">
        <f t="shared" si="10"/>
        <v>574858.54</v>
      </c>
      <c r="M53" s="155">
        <f t="shared" si="11"/>
        <v>264481.77359690005</v>
      </c>
      <c r="N53" s="175">
        <f t="shared" si="15"/>
        <v>0.83591602460996728</v>
      </c>
      <c r="O53" s="180">
        <f t="shared" si="7"/>
        <v>2123379.2122815964</v>
      </c>
      <c r="P53" s="51"/>
      <c r="Q53" s="21"/>
      <c r="R53" s="21"/>
      <c r="S53" s="21"/>
      <c r="T53" s="118">
        <f t="shared" si="3"/>
        <v>0</v>
      </c>
      <c r="U53" s="57">
        <f t="shared" si="16"/>
        <v>309816.23978078272</v>
      </c>
      <c r="V53" s="56">
        <f t="shared" si="17"/>
        <v>9.4052017925551623E-3</v>
      </c>
      <c r="W53" s="51">
        <f t="shared" si="12"/>
        <v>706.58318428902282</v>
      </c>
      <c r="X53" s="37">
        <f>C53*Allocations!$B$9</f>
        <v>309816.23978078272</v>
      </c>
      <c r="Y53" s="54">
        <f t="shared" si="8"/>
        <v>265188.3567811891</v>
      </c>
      <c r="Z53" s="40"/>
      <c r="AA53" s="37"/>
      <c r="AB53" s="40"/>
      <c r="AC53" s="37"/>
      <c r="AD53" s="74">
        <v>718573.17</v>
      </c>
      <c r="AE53" s="72">
        <v>574858.54</v>
      </c>
      <c r="AF53" s="75"/>
      <c r="AG53" s="36"/>
      <c r="AH53" s="74"/>
      <c r="AI53" s="72"/>
      <c r="AJ53" s="74"/>
      <c r="AK53" s="72"/>
      <c r="AL53" s="74"/>
      <c r="AM53" s="72"/>
      <c r="AN53" s="74"/>
      <c r="AO53" s="72"/>
      <c r="AP53" s="74"/>
      <c r="AQ53" s="72"/>
      <c r="AR53" s="18"/>
      <c r="AS53" s="37"/>
      <c r="AT53" s="74"/>
      <c r="AU53" s="72"/>
      <c r="AV53" s="20"/>
      <c r="AW53" s="65"/>
    </row>
    <row r="54" spans="1:50" ht="12.5">
      <c r="A54" s="22" t="s">
        <v>51</v>
      </c>
      <c r="B54" s="23">
        <v>50</v>
      </c>
      <c r="C54" s="125">
        <v>1.9196026071615659E-2</v>
      </c>
      <c r="D54" s="160">
        <v>601599.62527838396</v>
      </c>
      <c r="E54" s="160">
        <v>595186.01072368643</v>
      </c>
      <c r="F54" s="132">
        <f>C54*Allocations!$B$6</f>
        <v>635714.79541369574</v>
      </c>
      <c r="G54" s="137">
        <f t="shared" si="13"/>
        <v>1832500.431415766</v>
      </c>
      <c r="H54" s="111">
        <f t="shared" si="14"/>
        <v>610833.47713858867</v>
      </c>
      <c r="I54" s="143">
        <v>1496710.0832531215</v>
      </c>
      <c r="J54" s="144">
        <f t="shared" si="6"/>
        <v>2132424.8786668172</v>
      </c>
      <c r="K54" s="156">
        <f t="shared" si="9"/>
        <v>1040330.94</v>
      </c>
      <c r="L54" s="156">
        <f t="shared" si="10"/>
        <v>832264.75</v>
      </c>
      <c r="M54" s="156">
        <f t="shared" si="11"/>
        <v>1300160.1286668172</v>
      </c>
      <c r="N54" s="176">
        <f t="shared" si="15"/>
        <v>2.128501755924276</v>
      </c>
      <c r="O54" s="181">
        <f t="shared" si="7"/>
        <v>5114448.9011489917</v>
      </c>
      <c r="P54" s="52"/>
      <c r="Q54" s="25"/>
      <c r="R54" s="25"/>
      <c r="S54" s="25"/>
      <c r="T54" s="119">
        <f t="shared" si="3"/>
        <v>0</v>
      </c>
      <c r="U54" s="58">
        <f t="shared" si="16"/>
        <v>635714.79541369574</v>
      </c>
      <c r="V54" s="59">
        <f t="shared" si="17"/>
        <v>1.9298620167907662E-2</v>
      </c>
      <c r="W54" s="52">
        <f t="shared" si="12"/>
        <v>1449.8445425613738</v>
      </c>
      <c r="X54" s="38">
        <f>C54*Allocations!$B$9</f>
        <v>635714.79541369574</v>
      </c>
      <c r="Y54" s="83">
        <f t="shared" si="8"/>
        <v>1301609.9732093785</v>
      </c>
      <c r="Z54" s="41"/>
      <c r="AA54" s="38"/>
      <c r="AB54" s="41"/>
      <c r="AC54" s="38"/>
      <c r="AD54" s="79"/>
      <c r="AE54" s="73"/>
      <c r="AF54" s="76"/>
      <c r="AG54" s="77"/>
      <c r="AH54" s="79"/>
      <c r="AI54" s="73"/>
      <c r="AJ54" s="26"/>
      <c r="AK54" s="38"/>
      <c r="AL54" s="79"/>
      <c r="AM54" s="73"/>
      <c r="AN54" s="26"/>
      <c r="AO54" s="38"/>
      <c r="AP54" s="79"/>
      <c r="AQ54" s="73"/>
      <c r="AR54" s="26"/>
      <c r="AS54" s="38"/>
      <c r="AT54" s="79">
        <v>1040330.94</v>
      </c>
      <c r="AU54" s="73">
        <v>832264.75</v>
      </c>
      <c r="AV54" s="24"/>
      <c r="AW54" s="66"/>
    </row>
    <row r="55" spans="1:50" ht="12.5">
      <c r="A55" s="27" t="s">
        <v>52</v>
      </c>
      <c r="B55" s="17">
        <v>51</v>
      </c>
      <c r="C55" s="124">
        <v>8.6526172923685838E-3</v>
      </c>
      <c r="D55" s="159">
        <v>289844.3608180469</v>
      </c>
      <c r="E55" s="159">
        <v>299308.40738732088</v>
      </c>
      <c r="F55" s="131">
        <f>C55*Allocations!$B$6</f>
        <v>286548.7268713704</v>
      </c>
      <c r="G55" s="136">
        <f t="shared" si="13"/>
        <v>875701.49507673807</v>
      </c>
      <c r="H55" s="88">
        <f t="shared" si="14"/>
        <v>291900.49835891271</v>
      </c>
      <c r="I55" s="141">
        <v>342828.05723856261</v>
      </c>
      <c r="J55" s="142">
        <f t="shared" si="6"/>
        <v>629376.78410993307</v>
      </c>
      <c r="K55" s="155">
        <f t="shared" si="9"/>
        <v>658479.9</v>
      </c>
      <c r="L55" s="155">
        <f t="shared" si="10"/>
        <v>526784</v>
      </c>
      <c r="M55" s="155">
        <f t="shared" si="11"/>
        <v>102592.78410993307</v>
      </c>
      <c r="N55" s="175">
        <f t="shared" si="15"/>
        <v>0.35146491591044782</v>
      </c>
      <c r="O55" s="180">
        <f t="shared" si="7"/>
        <v>1821885.1453381556</v>
      </c>
      <c r="P55" s="51"/>
      <c r="Q55" s="21"/>
      <c r="R55" s="21"/>
      <c r="S55" s="21"/>
      <c r="T55" s="118">
        <f t="shared" si="3"/>
        <v>0</v>
      </c>
      <c r="U55" s="57">
        <f t="shared" si="16"/>
        <v>286548.7268713704</v>
      </c>
      <c r="V55" s="56">
        <f t="shared" si="17"/>
        <v>8.6988616269177924E-3</v>
      </c>
      <c r="W55" s="51">
        <f t="shared" si="12"/>
        <v>653.518072616209</v>
      </c>
      <c r="X55" s="37">
        <f>C55*Allocations!$B$9</f>
        <v>286548.7268713704</v>
      </c>
      <c r="Y55" s="54">
        <f t="shared" si="8"/>
        <v>103246.30218254923</v>
      </c>
      <c r="Z55" s="40"/>
      <c r="AA55" s="37"/>
      <c r="AB55" s="40">
        <v>658479.9</v>
      </c>
      <c r="AC55" s="37">
        <v>526784</v>
      </c>
      <c r="AD55" s="74"/>
      <c r="AE55" s="72"/>
      <c r="AF55" s="75"/>
      <c r="AG55" s="36"/>
      <c r="AH55" s="74"/>
      <c r="AI55" s="72"/>
      <c r="AJ55" s="18"/>
      <c r="AK55" s="37"/>
      <c r="AL55" s="74"/>
      <c r="AM55" s="72"/>
      <c r="AN55" s="18"/>
      <c r="AO55" s="37"/>
      <c r="AP55" s="74"/>
      <c r="AQ55" s="72"/>
      <c r="AR55" s="18"/>
      <c r="AS55" s="37"/>
      <c r="AT55" s="18"/>
      <c r="AU55" s="37"/>
      <c r="AV55" s="20"/>
      <c r="AW55" s="65"/>
    </row>
    <row r="56" spans="1:50" ht="12.5">
      <c r="A56" s="27" t="s">
        <v>53</v>
      </c>
      <c r="B56" s="17">
        <v>52</v>
      </c>
      <c r="C56" s="124">
        <v>1.1553041225290972E-2</v>
      </c>
      <c r="D56" s="159">
        <v>343795.88941034558</v>
      </c>
      <c r="E56" s="159">
        <v>345620.68903060583</v>
      </c>
      <c r="F56" s="131">
        <f>C56*Allocations!$B$6</f>
        <v>382602.06625796109</v>
      </c>
      <c r="G56" s="136">
        <f t="shared" si="13"/>
        <v>1072018.6446989125</v>
      </c>
      <c r="H56" s="88">
        <f t="shared" si="14"/>
        <v>357339.54823297082</v>
      </c>
      <c r="I56" s="141">
        <v>545761.68645966821</v>
      </c>
      <c r="J56" s="142">
        <f t="shared" si="6"/>
        <v>928363.75271762931</v>
      </c>
      <c r="K56" s="155">
        <f t="shared" si="9"/>
        <v>0</v>
      </c>
      <c r="L56" s="155">
        <f t="shared" si="10"/>
        <v>0</v>
      </c>
      <c r="M56" s="155">
        <f t="shared" si="11"/>
        <v>928363.75271762931</v>
      </c>
      <c r="N56" s="175">
        <f t="shared" si="15"/>
        <v>2.5979877047148836</v>
      </c>
      <c r="O56" s="180">
        <f t="shared" si="7"/>
        <v>3223976.1502653956</v>
      </c>
      <c r="P56" s="51"/>
      <c r="Q56" s="21"/>
      <c r="R56" s="21"/>
      <c r="S56" s="21"/>
      <c r="T56" s="118">
        <f t="shared" si="3"/>
        <v>0</v>
      </c>
      <c r="U56" s="57">
        <f t="shared" si="16"/>
        <v>382602.06625796109</v>
      </c>
      <c r="V56" s="56">
        <f t="shared" si="17"/>
        <v>1.1614787016816314E-2</v>
      </c>
      <c r="W56" s="51">
        <f t="shared" si="12"/>
        <v>872.58236199430678</v>
      </c>
      <c r="X56" s="37">
        <f>C56*Allocations!$B$9</f>
        <v>382602.06625796109</v>
      </c>
      <c r="Y56" s="54">
        <f t="shared" si="8"/>
        <v>929236.33507962362</v>
      </c>
      <c r="Z56" s="40"/>
      <c r="AA56" s="37"/>
      <c r="AB56" s="40"/>
      <c r="AC56" s="37"/>
      <c r="AD56" s="74"/>
      <c r="AE56" s="72"/>
      <c r="AF56" s="74"/>
      <c r="AG56" s="72"/>
      <c r="AH56" s="74"/>
      <c r="AI56" s="72"/>
      <c r="AJ56" s="18"/>
      <c r="AK56" s="37"/>
      <c r="AL56" s="74"/>
      <c r="AM56" s="72"/>
      <c r="AN56" s="18"/>
      <c r="AO56" s="37"/>
      <c r="AP56" s="74"/>
      <c r="AQ56" s="72"/>
      <c r="AR56" s="18"/>
      <c r="AS56" s="37"/>
      <c r="AT56" s="18"/>
      <c r="AU56" s="37"/>
      <c r="AV56" s="20"/>
      <c r="AW56" s="65"/>
    </row>
    <row r="57" spans="1:50" ht="12.5">
      <c r="A57" s="27" t="s">
        <v>54</v>
      </c>
      <c r="B57" s="17">
        <v>53</v>
      </c>
      <c r="C57" s="124">
        <v>6.7339344390148978E-3</v>
      </c>
      <c r="D57" s="159">
        <v>284160.4262840139</v>
      </c>
      <c r="E57" s="159">
        <v>231132.36928044897</v>
      </c>
      <c r="F57" s="131">
        <f>C57*Allocations!$B$6</f>
        <v>223007.70681685637</v>
      </c>
      <c r="G57" s="136">
        <f t="shared" si="13"/>
        <v>738300.5023813193</v>
      </c>
      <c r="H57" s="88">
        <f t="shared" si="14"/>
        <v>246100.16746043976</v>
      </c>
      <c r="I57" s="141">
        <v>417023.45937012142</v>
      </c>
      <c r="J57" s="142">
        <f t="shared" si="6"/>
        <v>640031.16618697776</v>
      </c>
      <c r="K57" s="155">
        <f t="shared" si="9"/>
        <v>0</v>
      </c>
      <c r="L57" s="155">
        <f t="shared" si="10"/>
        <v>0</v>
      </c>
      <c r="M57" s="155">
        <f t="shared" si="11"/>
        <v>640031.16618697776</v>
      </c>
      <c r="N57" s="175">
        <f t="shared" si="15"/>
        <v>2.6006937451184866</v>
      </c>
      <c r="O57" s="180">
        <f t="shared" si="7"/>
        <v>1978077.4070881158</v>
      </c>
      <c r="P57" s="51"/>
      <c r="Q57" s="21"/>
      <c r="R57" s="21"/>
      <c r="S57" s="21"/>
      <c r="T57" s="118">
        <f t="shared" si="3"/>
        <v>0</v>
      </c>
      <c r="U57" s="57">
        <f t="shared" si="16"/>
        <v>223007.70681685637</v>
      </c>
      <c r="V57" s="56">
        <f t="shared" si="17"/>
        <v>6.7699242796039295E-3</v>
      </c>
      <c r="W57" s="51">
        <f t="shared" si="12"/>
        <v>508.60308586516248</v>
      </c>
      <c r="X57" s="37">
        <f>C57*Allocations!$B$9</f>
        <v>223007.70681685637</v>
      </c>
      <c r="Y57" s="54">
        <f>I57-L57+W57+X57-T57</f>
        <v>640539.76927284291</v>
      </c>
      <c r="Z57" s="40"/>
      <c r="AA57" s="37"/>
      <c r="AB57" s="40"/>
      <c r="AC57" s="37"/>
      <c r="AD57" s="74"/>
      <c r="AE57" s="72"/>
      <c r="AF57" s="75"/>
      <c r="AG57" s="36"/>
      <c r="AH57" s="74"/>
      <c r="AI57" s="72"/>
      <c r="AJ57" s="74"/>
      <c r="AK57" s="72"/>
      <c r="AL57" s="74"/>
      <c r="AM57" s="72"/>
      <c r="AN57" s="74"/>
      <c r="AO57" s="72"/>
      <c r="AP57" s="74"/>
      <c r="AQ57" s="72"/>
      <c r="AR57" s="18"/>
      <c r="AS57" s="37"/>
      <c r="AT57" s="18"/>
      <c r="AU57" s="37"/>
      <c r="AV57" s="20"/>
      <c r="AW57" s="65"/>
    </row>
    <row r="58" spans="1:50" ht="12.5">
      <c r="A58" s="27" t="s">
        <v>55</v>
      </c>
      <c r="B58" s="17">
        <v>54</v>
      </c>
      <c r="C58" s="124">
        <v>9.9964744044799981E-3</v>
      </c>
      <c r="D58" s="159">
        <v>354151.3429375111</v>
      </c>
      <c r="E58" s="159">
        <v>331285.55832690303</v>
      </c>
      <c r="F58" s="131">
        <f>C58*Allocations!$B$6</f>
        <v>331053.24285316409</v>
      </c>
      <c r="G58" s="136">
        <f t="shared" si="13"/>
        <v>1016490.1441175783</v>
      </c>
      <c r="H58" s="88">
        <f t="shared" si="14"/>
        <v>338830.04803919274</v>
      </c>
      <c r="I58" s="141">
        <v>-518930.32894508285</v>
      </c>
      <c r="J58" s="142">
        <f t="shared" si="6"/>
        <v>-187877.08609191875</v>
      </c>
      <c r="K58" s="155">
        <f t="shared" si="9"/>
        <v>1038368.01</v>
      </c>
      <c r="L58" s="155">
        <f t="shared" si="10"/>
        <v>830694.40999999992</v>
      </c>
      <c r="M58" s="155">
        <f t="shared" si="11"/>
        <v>-1018571.4960919187</v>
      </c>
      <c r="N58" s="175">
        <f t="shared" si="15"/>
        <v>-3.0061427609103304</v>
      </c>
      <c r="O58" s="180">
        <f t="shared" si="7"/>
        <v>967747.96102706587</v>
      </c>
      <c r="P58" s="50"/>
      <c r="Q58" s="129"/>
      <c r="R58" s="21"/>
      <c r="S58" s="21"/>
      <c r="T58" s="118">
        <f t="shared" si="3"/>
        <v>0</v>
      </c>
      <c r="U58" s="57">
        <f t="shared" si="16"/>
        <v>331053.24285316409</v>
      </c>
      <c r="V58" s="56">
        <f t="shared" si="17"/>
        <v>1.0049901048818134E-2</v>
      </c>
      <c r="W58" s="51">
        <f t="shared" si="12"/>
        <v>755.01740860940265</v>
      </c>
      <c r="X58" s="37">
        <f>C58*Allocations!$B$9</f>
        <v>331053.24285316409</v>
      </c>
      <c r="Y58" s="54">
        <f t="shared" si="8"/>
        <v>-1017816.4786833093</v>
      </c>
      <c r="Z58" s="84">
        <v>109889</v>
      </c>
      <c r="AA58" s="72">
        <v>87911.2</v>
      </c>
      <c r="AB58" s="40"/>
      <c r="AC58" s="37"/>
      <c r="AD58" s="184">
        <v>71400</v>
      </c>
      <c r="AE58" s="185">
        <f>AD58*0.8</f>
        <v>57120</v>
      </c>
      <c r="AF58" s="75"/>
      <c r="AG58" s="36"/>
      <c r="AH58" s="74"/>
      <c r="AI58" s="72"/>
      <c r="AJ58" s="74">
        <v>422434.11</v>
      </c>
      <c r="AK58" s="72">
        <v>337947.29</v>
      </c>
      <c r="AL58" s="74">
        <v>71400</v>
      </c>
      <c r="AM58" s="72">
        <f>AL58*0.8</f>
        <v>57120</v>
      </c>
      <c r="AN58" s="74">
        <v>363244.9</v>
      </c>
      <c r="AO58" s="72">
        <v>290595.92</v>
      </c>
      <c r="AP58" s="74"/>
      <c r="AQ58" s="72"/>
      <c r="AR58" s="18"/>
      <c r="AS58" s="37"/>
      <c r="AT58" s="74"/>
      <c r="AU58" s="72"/>
      <c r="AV58" s="20"/>
      <c r="AW58" s="65"/>
      <c r="AX58" s="186" t="s">
        <v>154</v>
      </c>
    </row>
    <row r="59" spans="1:50" ht="12.5">
      <c r="A59" s="22" t="s">
        <v>56</v>
      </c>
      <c r="B59" s="23">
        <v>55</v>
      </c>
      <c r="C59" s="125">
        <v>1.0349245981917691E-2</v>
      </c>
      <c r="D59" s="160">
        <v>332505.65253070201</v>
      </c>
      <c r="E59" s="160">
        <v>364325.46339759167</v>
      </c>
      <c r="F59" s="132">
        <f>C59*Allocations!$B$6</f>
        <v>342735.97918316821</v>
      </c>
      <c r="G59" s="137">
        <f t="shared" si="13"/>
        <v>1039567.0951114618</v>
      </c>
      <c r="H59" s="111">
        <f t="shared" si="14"/>
        <v>346522.36503715394</v>
      </c>
      <c r="I59" s="143">
        <v>708939.19925155398</v>
      </c>
      <c r="J59" s="144">
        <f t="shared" si="6"/>
        <v>1051675.1784347221</v>
      </c>
      <c r="K59" s="156">
        <f t="shared" si="9"/>
        <v>343808.78</v>
      </c>
      <c r="L59" s="156">
        <f t="shared" si="10"/>
        <v>275047.02</v>
      </c>
      <c r="M59" s="156">
        <f t="shared" si="11"/>
        <v>776628.15843472211</v>
      </c>
      <c r="N59" s="176">
        <f t="shared" si="15"/>
        <v>2.241206446664568</v>
      </c>
      <c r="O59" s="181">
        <f t="shared" si="7"/>
        <v>2833044.0335337315</v>
      </c>
      <c r="P59" s="52"/>
      <c r="Q59" s="25"/>
      <c r="R59" s="25"/>
      <c r="S59" s="25"/>
      <c r="T59" s="119">
        <f t="shared" si="3"/>
        <v>0</v>
      </c>
      <c r="U59" s="58">
        <f t="shared" si="16"/>
        <v>342735.97918316821</v>
      </c>
      <c r="V59" s="59">
        <f t="shared" si="17"/>
        <v>1.0404558031133363E-2</v>
      </c>
      <c r="W59" s="52">
        <f t="shared" si="12"/>
        <v>781.66167052125149</v>
      </c>
      <c r="X59" s="38">
        <f>C59*Allocations!$B$9</f>
        <v>342735.97918316821</v>
      </c>
      <c r="Y59" s="83">
        <f t="shared" si="8"/>
        <v>777409.82010524347</v>
      </c>
      <c r="Z59" s="41"/>
      <c r="AA59" s="38"/>
      <c r="AB59" s="85"/>
      <c r="AC59" s="73"/>
      <c r="AD59" s="79"/>
      <c r="AE59" s="73"/>
      <c r="AF59" s="76"/>
      <c r="AG59" s="77"/>
      <c r="AH59" s="79"/>
      <c r="AI59" s="73"/>
      <c r="AJ59" s="79">
        <v>343808.78</v>
      </c>
      <c r="AK59" s="73">
        <v>275047.02</v>
      </c>
      <c r="AL59" s="79"/>
      <c r="AM59" s="73"/>
      <c r="AN59" s="26"/>
      <c r="AO59" s="38"/>
      <c r="AP59" s="79"/>
      <c r="AQ59" s="73"/>
      <c r="AR59" s="79"/>
      <c r="AS59" s="73"/>
      <c r="AT59" s="26"/>
      <c r="AU59" s="38"/>
      <c r="AV59" s="24"/>
      <c r="AW59" s="66"/>
    </row>
    <row r="60" spans="1:50" ht="12.5">
      <c r="A60" s="27" t="s">
        <v>57</v>
      </c>
      <c r="B60" s="17">
        <v>56</v>
      </c>
      <c r="C60" s="124">
        <v>7.2740455350551493E-3</v>
      </c>
      <c r="D60" s="159">
        <v>201679.01933231237</v>
      </c>
      <c r="E60" s="159">
        <v>240672.56277616828</v>
      </c>
      <c r="F60" s="131">
        <f>C60*Allocations!$B$6</f>
        <v>240894.56598442138</v>
      </c>
      <c r="G60" s="136">
        <f t="shared" si="13"/>
        <v>683246.14809290203</v>
      </c>
      <c r="H60" s="88">
        <f t="shared" si="14"/>
        <v>227748.71603096733</v>
      </c>
      <c r="I60" s="141">
        <v>251885.83510560708</v>
      </c>
      <c r="J60" s="142">
        <f t="shared" si="6"/>
        <v>492780.40109002846</v>
      </c>
      <c r="K60" s="155">
        <f t="shared" si="9"/>
        <v>0</v>
      </c>
      <c r="L60" s="155">
        <f t="shared" si="10"/>
        <v>0</v>
      </c>
      <c r="M60" s="155">
        <f t="shared" si="11"/>
        <v>492780.40109002846</v>
      </c>
      <c r="N60" s="175">
        <f t="shared" si="15"/>
        <v>2.1637022139041364</v>
      </c>
      <c r="O60" s="180">
        <f t="shared" si="7"/>
        <v>1938147.7969965567</v>
      </c>
      <c r="P60" s="51"/>
      <c r="Q60" s="21"/>
      <c r="R60" s="21"/>
      <c r="S60" s="21"/>
      <c r="T60" s="118">
        <f t="shared" si="3"/>
        <v>0</v>
      </c>
      <c r="U60" s="57">
        <f t="shared" si="16"/>
        <v>240894.56598442138</v>
      </c>
      <c r="V60" s="56">
        <f t="shared" si="17"/>
        <v>7.3129220257033547E-3</v>
      </c>
      <c r="W60" s="51">
        <f t="shared" si="12"/>
        <v>549.39679608671213</v>
      </c>
      <c r="X60" s="37">
        <f>C60*Allocations!$B$9</f>
        <v>240894.56598442138</v>
      </c>
      <c r="Y60" s="54">
        <f t="shared" si="8"/>
        <v>493329.79788611515</v>
      </c>
      <c r="Z60" s="40"/>
      <c r="AA60" s="37"/>
      <c r="AB60" s="40"/>
      <c r="AC60" s="37"/>
      <c r="AD60" s="74"/>
      <c r="AE60" s="72"/>
      <c r="AF60" s="75"/>
      <c r="AG60" s="36"/>
      <c r="AH60" s="74"/>
      <c r="AI60" s="72"/>
      <c r="AJ60" s="18"/>
      <c r="AK60" s="37"/>
      <c r="AL60" s="74"/>
      <c r="AM60" s="72"/>
      <c r="AN60" s="18"/>
      <c r="AO60" s="37"/>
      <c r="AP60" s="74"/>
      <c r="AQ60" s="72"/>
      <c r="AR60" s="18"/>
      <c r="AS60" s="37"/>
      <c r="AT60" s="18"/>
      <c r="AU60" s="37"/>
      <c r="AV60" s="91"/>
      <c r="AW60" s="92"/>
    </row>
    <row r="61" spans="1:50" ht="12.5">
      <c r="A61" s="27" t="s">
        <v>58</v>
      </c>
      <c r="B61" s="17">
        <v>57</v>
      </c>
      <c r="C61" s="124">
        <v>1.3535038631065963E-2</v>
      </c>
      <c r="D61" s="159">
        <v>385819.25900808023</v>
      </c>
      <c r="E61" s="159">
        <v>430885.28945859551</v>
      </c>
      <c r="F61" s="131">
        <f>C61*Allocations!$B$6</f>
        <v>448239.87434501149</v>
      </c>
      <c r="G61" s="136">
        <f t="shared" si="13"/>
        <v>1264944.4228116872</v>
      </c>
      <c r="H61" s="88">
        <f t="shared" si="14"/>
        <v>421648.14093722909</v>
      </c>
      <c r="I61" s="141">
        <v>883951.98613946349</v>
      </c>
      <c r="J61" s="142">
        <f t="shared" si="6"/>
        <v>1332191.860484475</v>
      </c>
      <c r="K61" s="155">
        <f t="shared" si="9"/>
        <v>0</v>
      </c>
      <c r="L61" s="155">
        <f t="shared" si="10"/>
        <v>0</v>
      </c>
      <c r="M61" s="155">
        <f t="shared" si="11"/>
        <v>1332191.860484475</v>
      </c>
      <c r="N61" s="175">
        <f t="shared" si="15"/>
        <v>3.1594870963341894</v>
      </c>
      <c r="O61" s="180">
        <f t="shared" si="7"/>
        <v>4021631.1065545436</v>
      </c>
      <c r="P61" s="51"/>
      <c r="Q61" s="21"/>
      <c r="R61" s="21">
        <v>462234.5</v>
      </c>
      <c r="S61" s="21">
        <f>R61*0.8</f>
        <v>369787.60000000003</v>
      </c>
      <c r="T61" s="118">
        <f t="shared" si="3"/>
        <v>0</v>
      </c>
      <c r="U61" s="57">
        <f t="shared" si="16"/>
        <v>448239.87434501149</v>
      </c>
      <c r="V61" s="56">
        <f t="shared" si="17"/>
        <v>1.3607377304260664E-2</v>
      </c>
      <c r="W61" s="51">
        <f t="shared" si="12"/>
        <v>1022.2793936305953</v>
      </c>
      <c r="X61" s="37">
        <f>C61*Allocations!$B$9</f>
        <v>448239.87434501149</v>
      </c>
      <c r="Y61" s="54">
        <f t="shared" si="8"/>
        <v>1333214.1398781056</v>
      </c>
      <c r="Z61" s="40"/>
      <c r="AA61" s="37"/>
      <c r="AB61" s="40"/>
      <c r="AC61" s="37"/>
      <c r="AD61" s="74"/>
      <c r="AE61" s="72"/>
      <c r="AF61" s="75"/>
      <c r="AG61" s="36"/>
      <c r="AH61" s="74"/>
      <c r="AI61" s="72"/>
      <c r="AJ61" s="71"/>
      <c r="AK61" s="45"/>
      <c r="AL61" s="74"/>
      <c r="AM61" s="72"/>
      <c r="AN61" s="74"/>
      <c r="AO61" s="72"/>
      <c r="AP61" s="74"/>
      <c r="AQ61" s="72"/>
      <c r="AR61" s="18"/>
      <c r="AS61" s="37"/>
      <c r="AT61" s="74"/>
      <c r="AU61" s="72"/>
      <c r="AV61" s="20"/>
      <c r="AW61" s="65"/>
    </row>
    <row r="62" spans="1:50" ht="12.5">
      <c r="A62" s="27" t="s">
        <v>59</v>
      </c>
      <c r="B62" s="17">
        <v>58</v>
      </c>
      <c r="C62" s="124">
        <v>7.5277281623485391E-3</v>
      </c>
      <c r="D62" s="159">
        <v>375536.41253011121</v>
      </c>
      <c r="E62" s="159">
        <v>362481.06189732853</v>
      </c>
      <c r="F62" s="131">
        <f>C62*Allocations!$B$6</f>
        <v>249295.77355249657</v>
      </c>
      <c r="G62" s="136">
        <f t="shared" si="13"/>
        <v>987313.24797993631</v>
      </c>
      <c r="H62" s="88">
        <f t="shared" si="14"/>
        <v>329104.41599331208</v>
      </c>
      <c r="I62" s="141">
        <v>6757.191784901137</v>
      </c>
      <c r="J62" s="142">
        <f t="shared" si="6"/>
        <v>256052.96533739771</v>
      </c>
      <c r="K62" s="155">
        <f t="shared" si="9"/>
        <v>0</v>
      </c>
      <c r="L62" s="155">
        <f t="shared" si="10"/>
        <v>0</v>
      </c>
      <c r="M62" s="155">
        <f t="shared" si="11"/>
        <v>256052.96533739771</v>
      </c>
      <c r="N62" s="175">
        <f t="shared" si="15"/>
        <v>0.77802956415693036</v>
      </c>
      <c r="O62" s="180">
        <f t="shared" si="7"/>
        <v>1751827.6066523772</v>
      </c>
      <c r="P62" s="51"/>
      <c r="Q62" s="21"/>
      <c r="R62" s="21"/>
      <c r="S62" s="21"/>
      <c r="T62" s="118">
        <f t="shared" si="3"/>
        <v>0</v>
      </c>
      <c r="U62" s="57">
        <f t="shared" si="16"/>
        <v>249295.77355249657</v>
      </c>
      <c r="V62" s="56">
        <f t="shared" si="17"/>
        <v>7.5679604721540557E-3</v>
      </c>
      <c r="W62" s="51">
        <f t="shared" si="12"/>
        <v>568.55703119744692</v>
      </c>
      <c r="X62" s="37">
        <f>C62*Allocations!$B$9</f>
        <v>249295.77355249657</v>
      </c>
      <c r="Y62" s="54">
        <f t="shared" si="8"/>
        <v>256621.52236859515</v>
      </c>
      <c r="Z62" s="40"/>
      <c r="AA62" s="37"/>
      <c r="AB62" s="40"/>
      <c r="AC62" s="37"/>
      <c r="AD62" s="74"/>
      <c r="AE62" s="72"/>
      <c r="AF62" s="75"/>
      <c r="AG62" s="36"/>
      <c r="AH62" s="74"/>
      <c r="AI62" s="72"/>
      <c r="AJ62" s="18"/>
      <c r="AK62" s="37"/>
      <c r="AL62" s="74"/>
      <c r="AM62" s="72"/>
      <c r="AN62" s="18"/>
      <c r="AO62" s="37"/>
      <c r="AP62" s="74"/>
      <c r="AQ62" s="72"/>
      <c r="AR62" s="74"/>
      <c r="AS62" s="72"/>
      <c r="AT62" s="18"/>
      <c r="AU62" s="37"/>
      <c r="AV62" s="20"/>
      <c r="AW62" s="65"/>
    </row>
    <row r="63" spans="1:50" ht="12.5">
      <c r="A63" s="27" t="s">
        <v>60</v>
      </c>
      <c r="B63" s="17">
        <v>59</v>
      </c>
      <c r="C63" s="124">
        <v>8.3985469058466856E-3</v>
      </c>
      <c r="D63" s="159">
        <v>269972.90599462995</v>
      </c>
      <c r="E63" s="159">
        <v>283409.77566235408</v>
      </c>
      <c r="F63" s="131">
        <f>C63*Allocations!$B$6</f>
        <v>278134.67788092466</v>
      </c>
      <c r="G63" s="136">
        <f t="shared" si="13"/>
        <v>831517.35953790869</v>
      </c>
      <c r="H63" s="88">
        <f t="shared" si="14"/>
        <v>277172.45317930292</v>
      </c>
      <c r="I63" s="141">
        <v>688678.59733083285</v>
      </c>
      <c r="J63" s="142">
        <f t="shared" si="6"/>
        <v>966813.27521175751</v>
      </c>
      <c r="K63" s="155">
        <f t="shared" si="9"/>
        <v>361599.59</v>
      </c>
      <c r="L63" s="155">
        <f t="shared" si="10"/>
        <v>289279.67</v>
      </c>
      <c r="M63" s="155">
        <f t="shared" si="11"/>
        <v>677533.60521175759</v>
      </c>
      <c r="N63" s="175">
        <f t="shared" si="15"/>
        <v>2.4444478426341343</v>
      </c>
      <c r="O63" s="180">
        <f t="shared" si="7"/>
        <v>2346341.6724973056</v>
      </c>
      <c r="P63" s="51"/>
      <c r="Q63" s="21"/>
      <c r="R63" s="21"/>
      <c r="S63" s="21"/>
      <c r="T63" s="118">
        <f t="shared" si="3"/>
        <v>0</v>
      </c>
      <c r="U63" s="57">
        <f t="shared" si="16"/>
        <v>278134.67788092466</v>
      </c>
      <c r="V63" s="56">
        <f t="shared" si="17"/>
        <v>8.4434333488405001E-3</v>
      </c>
      <c r="W63" s="51">
        <f t="shared" si="12"/>
        <v>634.32855068333799</v>
      </c>
      <c r="X63" s="37">
        <f>C63*Allocations!$B$9</f>
        <v>278134.67788092466</v>
      </c>
      <c r="Y63" s="54">
        <f t="shared" si="8"/>
        <v>678167.93376244092</v>
      </c>
      <c r="Z63" s="40"/>
      <c r="AA63" s="37"/>
      <c r="AB63" s="40"/>
      <c r="AC63" s="37"/>
      <c r="AD63" s="74"/>
      <c r="AE63" s="72"/>
      <c r="AF63" s="75"/>
      <c r="AG63" s="36"/>
      <c r="AH63" s="87"/>
      <c r="AI63" s="88"/>
      <c r="AJ63" s="18"/>
      <c r="AK63" s="37"/>
      <c r="AL63" s="74"/>
      <c r="AM63" s="72"/>
      <c r="AN63" s="18"/>
      <c r="AO63" s="37"/>
      <c r="AP63" s="74"/>
      <c r="AQ63" s="72"/>
      <c r="AR63" s="18"/>
      <c r="AS63" s="37"/>
      <c r="AT63" s="74">
        <v>361599.59</v>
      </c>
      <c r="AU63" s="72">
        <v>289279.67</v>
      </c>
      <c r="AV63" s="94"/>
      <c r="AW63" s="95"/>
      <c r="AX63" s="96"/>
    </row>
    <row r="64" spans="1:50" ht="12.5">
      <c r="A64" s="22" t="s">
        <v>61</v>
      </c>
      <c r="B64" s="23">
        <v>60</v>
      </c>
      <c r="C64" s="125">
        <v>1.4953891119163471E-2</v>
      </c>
      <c r="D64" s="160">
        <v>417600.69455759932</v>
      </c>
      <c r="E64" s="160">
        <v>483065.84908825526</v>
      </c>
      <c r="F64" s="132">
        <f>C64*Allocations!$B$6</f>
        <v>495228.01219333668</v>
      </c>
      <c r="G64" s="137">
        <f t="shared" si="13"/>
        <v>1395894.5558391912</v>
      </c>
      <c r="H64" s="111">
        <f t="shared" si="14"/>
        <v>465298.18527973042</v>
      </c>
      <c r="I64" s="143">
        <v>513196.33818188665</v>
      </c>
      <c r="J64" s="144">
        <f t="shared" si="6"/>
        <v>1008424.3503752233</v>
      </c>
      <c r="K64" s="156">
        <f t="shared" si="9"/>
        <v>0</v>
      </c>
      <c r="L64" s="156">
        <f t="shared" si="10"/>
        <v>0</v>
      </c>
      <c r="M64" s="156">
        <f t="shared" si="11"/>
        <v>1008424.3503752233</v>
      </c>
      <c r="N64" s="176">
        <f t="shared" si="15"/>
        <v>2.1672647396399656</v>
      </c>
      <c r="O64" s="181">
        <f t="shared" si="7"/>
        <v>3979792.4235352436</v>
      </c>
      <c r="P64" s="52"/>
      <c r="Q64" s="25"/>
      <c r="R64" s="25"/>
      <c r="S64" s="25"/>
      <c r="T64" s="119">
        <f t="shared" si="3"/>
        <v>0</v>
      </c>
      <c r="U64" s="58">
        <f t="shared" si="16"/>
        <v>495228.01219333668</v>
      </c>
      <c r="V64" s="59">
        <f t="shared" si="17"/>
        <v>1.5033812918586745E-2</v>
      </c>
      <c r="W64" s="52">
        <f t="shared" si="12"/>
        <v>1129.4430080627287</v>
      </c>
      <c r="X64" s="38">
        <f>C64*Allocations!$B$9</f>
        <v>495228.01219333668</v>
      </c>
      <c r="Y64" s="83">
        <f t="shared" si="8"/>
        <v>1009553.7933832861</v>
      </c>
      <c r="Z64" s="41"/>
      <c r="AA64" s="38"/>
      <c r="AB64" s="85"/>
      <c r="AC64" s="73"/>
      <c r="AD64" s="79"/>
      <c r="AE64" s="73"/>
      <c r="AF64" s="79"/>
      <c r="AG64" s="73"/>
      <c r="AH64" s="79"/>
      <c r="AI64" s="73"/>
      <c r="AJ64" s="26"/>
      <c r="AK64" s="38"/>
      <c r="AL64" s="79"/>
      <c r="AM64" s="73"/>
      <c r="AN64" s="26"/>
      <c r="AO64" s="38"/>
      <c r="AP64" s="79"/>
      <c r="AQ64" s="73"/>
      <c r="AR64" s="26"/>
      <c r="AS64" s="38"/>
      <c r="AT64" s="26"/>
      <c r="AU64" s="38"/>
      <c r="AV64" s="24"/>
      <c r="AW64" s="66"/>
      <c r="AX64" s="96"/>
    </row>
    <row r="65" spans="1:50" ht="12.5">
      <c r="A65" s="27" t="s">
        <v>62</v>
      </c>
      <c r="B65" s="17">
        <v>61</v>
      </c>
      <c r="C65" s="124">
        <v>1.7386840352406452E-2</v>
      </c>
      <c r="D65" s="159">
        <v>566693.56354912836</v>
      </c>
      <c r="E65" s="159">
        <v>574444.08064748917</v>
      </c>
      <c r="F65" s="131">
        <f>C65*Allocations!$B$6</f>
        <v>575799.99195064441</v>
      </c>
      <c r="G65" s="136">
        <f t="shared" si="13"/>
        <v>1716937.6361472618</v>
      </c>
      <c r="H65" s="88">
        <f t="shared" si="14"/>
        <v>572312.54538242065</v>
      </c>
      <c r="I65" s="141">
        <v>1779640.9139902769</v>
      </c>
      <c r="J65" s="142">
        <f t="shared" si="6"/>
        <v>2355440.905940921</v>
      </c>
      <c r="K65" s="155">
        <f t="shared" si="9"/>
        <v>1271519</v>
      </c>
      <c r="L65" s="155">
        <f t="shared" si="10"/>
        <v>1017214.99</v>
      </c>
      <c r="M65" s="155">
        <f t="shared" si="11"/>
        <v>1338225.9159409211</v>
      </c>
      <c r="N65" s="175">
        <f>M65/H65</f>
        <v>2.3382781431896014</v>
      </c>
      <c r="O65" s="180">
        <f t="shared" si="7"/>
        <v>4793025.8676447878</v>
      </c>
      <c r="P65" s="51"/>
      <c r="Q65" s="21"/>
      <c r="R65" s="21"/>
      <c r="S65" s="21"/>
      <c r="T65" s="118">
        <f t="shared" si="3"/>
        <v>0</v>
      </c>
      <c r="U65" s="57">
        <f t="shared" si="16"/>
        <v>575799.99195064441</v>
      </c>
      <c r="V65" s="56">
        <f t="shared" si="17"/>
        <v>1.7479765167504827E-2</v>
      </c>
      <c r="W65" s="51">
        <f t="shared" si="12"/>
        <v>1313.1996957743602</v>
      </c>
      <c r="X65" s="37">
        <f>C65*Allocations!$B$9</f>
        <v>575799.99195064441</v>
      </c>
      <c r="Y65" s="54">
        <f t="shared" si="8"/>
        <v>1339539.1156366956</v>
      </c>
      <c r="Z65" s="42"/>
      <c r="AA65" s="45"/>
      <c r="AB65" s="40">
        <v>133900</v>
      </c>
      <c r="AC65" s="37">
        <f>AB65*0.8</f>
        <v>107120</v>
      </c>
      <c r="AD65" s="74"/>
      <c r="AE65" s="72"/>
      <c r="AF65" s="74">
        <v>1137619</v>
      </c>
      <c r="AG65" s="72">
        <v>910094.99</v>
      </c>
      <c r="AH65" s="74"/>
      <c r="AI65" s="72"/>
      <c r="AJ65" s="18"/>
      <c r="AK65" s="37"/>
      <c r="AL65" s="74"/>
      <c r="AM65" s="72"/>
      <c r="AN65" s="18"/>
      <c r="AO65" s="37"/>
      <c r="AP65" s="74"/>
      <c r="AQ65" s="72"/>
      <c r="AR65" s="18"/>
      <c r="AS65" s="37"/>
      <c r="AT65" s="18"/>
      <c r="AU65" s="37"/>
      <c r="AV65" s="20"/>
      <c r="AW65" s="65"/>
    </row>
    <row r="66" spans="1:50" ht="12.5">
      <c r="A66" s="27" t="s">
        <v>63</v>
      </c>
      <c r="B66" s="17">
        <v>62</v>
      </c>
      <c r="C66" s="124">
        <v>7.6959118132769811E-3</v>
      </c>
      <c r="D66" s="159">
        <v>307467.99648881995</v>
      </c>
      <c r="E66" s="159">
        <v>318646.54143449612</v>
      </c>
      <c r="F66" s="131">
        <f>C66*Allocations!$B$6</f>
        <v>254865.51152029377</v>
      </c>
      <c r="G66" s="136">
        <f t="shared" si="13"/>
        <v>880980.04944360978</v>
      </c>
      <c r="H66" s="88">
        <f t="shared" si="14"/>
        <v>293660.01648120326</v>
      </c>
      <c r="I66" s="141">
        <v>396865.76466918096</v>
      </c>
      <c r="J66" s="142">
        <f t="shared" si="6"/>
        <v>651731.27618947474</v>
      </c>
      <c r="K66" s="155">
        <f t="shared" si="9"/>
        <v>316772.40000000002</v>
      </c>
      <c r="L66" s="155">
        <f t="shared" si="10"/>
        <v>253417.92</v>
      </c>
      <c r="M66" s="155">
        <f t="shared" si="11"/>
        <v>398313.3561894747</v>
      </c>
      <c r="N66" s="175">
        <f t="shared" si="15"/>
        <v>1.3563758558699466</v>
      </c>
      <c r="O66" s="180">
        <f t="shared" si="7"/>
        <v>1927506.4253112373</v>
      </c>
      <c r="P66" s="51"/>
      <c r="Q66" s="21"/>
      <c r="R66" s="21"/>
      <c r="S66" s="21"/>
      <c r="T66" s="118">
        <f t="shared" si="3"/>
        <v>0</v>
      </c>
      <c r="U66" s="57">
        <f t="shared" si="16"/>
        <v>254865.51152029377</v>
      </c>
      <c r="V66" s="56">
        <f t="shared" si="17"/>
        <v>7.7370429887963551E-3</v>
      </c>
      <c r="W66" s="51">
        <f t="shared" si="12"/>
        <v>581.25966806285544</v>
      </c>
      <c r="X66" s="37">
        <f>C66*Allocations!$B$9</f>
        <v>254865.51152029377</v>
      </c>
      <c r="Y66" s="54">
        <f t="shared" si="8"/>
        <v>398894.6158575376</v>
      </c>
      <c r="Z66" s="40"/>
      <c r="AA66" s="37"/>
      <c r="AB66" s="40"/>
      <c r="AC66" s="37"/>
      <c r="AD66" s="74"/>
      <c r="AE66" s="72"/>
      <c r="AF66" s="74"/>
      <c r="AG66" s="72"/>
      <c r="AH66" s="74"/>
      <c r="AI66" s="72"/>
      <c r="AJ66" s="74">
        <v>316772.40000000002</v>
      </c>
      <c r="AK66" s="72">
        <v>253417.92</v>
      </c>
      <c r="AL66" s="74"/>
      <c r="AM66" s="72"/>
      <c r="AN66" s="18"/>
      <c r="AO66" s="37"/>
      <c r="AP66" s="74"/>
      <c r="AQ66" s="72"/>
      <c r="AR66" s="74"/>
      <c r="AS66" s="72"/>
      <c r="AT66" s="18"/>
      <c r="AU66" s="37"/>
      <c r="AV66" s="20"/>
      <c r="AW66" s="65"/>
    </row>
    <row r="67" spans="1:50" ht="12.5">
      <c r="A67" s="27" t="s">
        <v>64</v>
      </c>
      <c r="B67" s="17">
        <v>63</v>
      </c>
      <c r="C67" s="124">
        <v>1.1712793596526201E-2</v>
      </c>
      <c r="D67" s="159">
        <v>366467.15657441574</v>
      </c>
      <c r="E67" s="159">
        <v>390393.89682977949</v>
      </c>
      <c r="F67" s="131">
        <f>C67*Allocations!$B$6</f>
        <v>387892.58553615818</v>
      </c>
      <c r="G67" s="136">
        <f t="shared" si="13"/>
        <v>1144753.6389403534</v>
      </c>
      <c r="H67" s="88">
        <f t="shared" si="14"/>
        <v>381584.54631345114</v>
      </c>
      <c r="I67" s="141">
        <v>333297.39689033688</v>
      </c>
      <c r="J67" s="142">
        <f t="shared" si="6"/>
        <v>721189.98242649506</v>
      </c>
      <c r="K67" s="155">
        <f t="shared" si="9"/>
        <v>1111871.6000000001</v>
      </c>
      <c r="L67" s="155">
        <f t="shared" si="10"/>
        <v>879577.28</v>
      </c>
      <c r="M67" s="155">
        <f t="shared" si="11"/>
        <v>-158387.29757350497</v>
      </c>
      <c r="N67" s="175">
        <f t="shared" si="15"/>
        <v>-0.41507786178373779</v>
      </c>
      <c r="O67" s="180">
        <f t="shared" si="7"/>
        <v>2168968.2156434441</v>
      </c>
      <c r="P67" s="51"/>
      <c r="Q67" s="21"/>
      <c r="R67" s="21"/>
      <c r="S67" s="21"/>
      <c r="T67" s="118">
        <f t="shared" si="3"/>
        <v>0</v>
      </c>
      <c r="U67" s="57">
        <f t="shared" si="16"/>
        <v>387892.58553615818</v>
      </c>
      <c r="V67" s="56">
        <f t="shared" si="17"/>
        <v>1.177539319238043E-2</v>
      </c>
      <c r="W67" s="51">
        <f t="shared" si="12"/>
        <v>884.64819805498576</v>
      </c>
      <c r="X67" s="37">
        <f>C67*Allocations!$B$9</f>
        <v>387892.58553615818</v>
      </c>
      <c r="Y67" s="54">
        <f t="shared" si="8"/>
        <v>-157502.64937544998</v>
      </c>
      <c r="Z67" s="40"/>
      <c r="AA67" s="37"/>
      <c r="AB67" s="84"/>
      <c r="AC67" s="72"/>
      <c r="AD67" s="74"/>
      <c r="AE67" s="72"/>
      <c r="AF67" s="75"/>
      <c r="AG67" s="36"/>
      <c r="AH67" s="74"/>
      <c r="AI67" s="72"/>
      <c r="AJ67" s="18"/>
      <c r="AK67" s="37"/>
      <c r="AL67" s="74">
        <v>1111871.6000000001</v>
      </c>
      <c r="AM67" s="72">
        <v>879577.28</v>
      </c>
      <c r="AN67" s="18"/>
      <c r="AO67" s="37"/>
      <c r="AP67" s="74"/>
      <c r="AQ67" s="72"/>
      <c r="AR67" s="18"/>
      <c r="AS67" s="37"/>
      <c r="AT67" s="18"/>
      <c r="AU67" s="37"/>
      <c r="AV67" s="20"/>
      <c r="AW67" s="65"/>
    </row>
    <row r="68" spans="1:50" ht="12.5">
      <c r="A68" s="27" t="s">
        <v>65</v>
      </c>
      <c r="B68" s="17">
        <v>64</v>
      </c>
      <c r="C68" s="124">
        <v>1.4646897510960504E-2</v>
      </c>
      <c r="D68" s="159">
        <v>393370.84152148193</v>
      </c>
      <c r="E68" s="159">
        <v>397654.28106753313</v>
      </c>
      <c r="F68" s="131">
        <f>C68*Allocations!$B$6</f>
        <v>485061.30487047898</v>
      </c>
      <c r="G68" s="136">
        <f t="shared" si="13"/>
        <v>1276086.427459494</v>
      </c>
      <c r="H68" s="88">
        <f t="shared" si="14"/>
        <v>425362.14248649799</v>
      </c>
      <c r="I68" s="141">
        <v>1274533.4048557254</v>
      </c>
      <c r="J68" s="142">
        <f t="shared" si="6"/>
        <v>1759594.7097262044</v>
      </c>
      <c r="K68" s="155">
        <f t="shared" si="9"/>
        <v>368318.04</v>
      </c>
      <c r="L68" s="155">
        <f t="shared" si="10"/>
        <v>294654.40000000002</v>
      </c>
      <c r="M68" s="155">
        <f t="shared" si="11"/>
        <v>1464940.3097262043</v>
      </c>
      <c r="N68" s="175">
        <f t="shared" si="15"/>
        <v>3.4439837573761163</v>
      </c>
      <c r="O68" s="180">
        <f t="shared" si="7"/>
        <v>4375308.1389490776</v>
      </c>
      <c r="P68" s="51"/>
      <c r="Q68" s="21"/>
      <c r="R68" s="21">
        <v>509089.4</v>
      </c>
      <c r="S68" s="21">
        <f>R68*0.8</f>
        <v>407271.52</v>
      </c>
      <c r="T68" s="118">
        <f t="shared" si="3"/>
        <v>0</v>
      </c>
      <c r="U68" s="57">
        <f t="shared" si="16"/>
        <v>485061.30487047898</v>
      </c>
      <c r="V68" s="56">
        <f t="shared" si="17"/>
        <v>1.4725178568092457E-2</v>
      </c>
      <c r="W68" s="51">
        <f t="shared" si="12"/>
        <v>1106.256281508297</v>
      </c>
      <c r="X68" s="37">
        <f>C68*Allocations!$B$9</f>
        <v>485061.30487047898</v>
      </c>
      <c r="Y68" s="54">
        <f t="shared" si="8"/>
        <v>1466046.5660077126</v>
      </c>
      <c r="Z68" s="40"/>
      <c r="AA68" s="37"/>
      <c r="AB68" s="84">
        <v>368318.04</v>
      </c>
      <c r="AC68" s="72">
        <v>294654.40000000002</v>
      </c>
      <c r="AD68" s="74"/>
      <c r="AE68" s="72"/>
      <c r="AF68" s="75"/>
      <c r="AG68" s="36"/>
      <c r="AH68" s="74"/>
      <c r="AI68" s="72"/>
      <c r="AJ68" s="74"/>
      <c r="AK68" s="72"/>
      <c r="AL68" s="74"/>
      <c r="AM68" s="72"/>
      <c r="AN68" s="18"/>
      <c r="AO68" s="37"/>
      <c r="AP68" s="74"/>
      <c r="AQ68" s="72"/>
      <c r="AR68" s="18"/>
      <c r="AS68" s="37"/>
      <c r="AT68" s="18"/>
      <c r="AU68" s="37"/>
      <c r="AV68" s="20"/>
      <c r="AW68" s="65"/>
    </row>
    <row r="69" spans="1:50" ht="12.5">
      <c r="A69" s="22" t="s">
        <v>66</v>
      </c>
      <c r="B69" s="23">
        <v>65</v>
      </c>
      <c r="C69" s="125">
        <v>9.8801516228437091E-3</v>
      </c>
      <c r="D69" s="160">
        <v>392757.86338491907</v>
      </c>
      <c r="E69" s="160">
        <v>332839.34165437456</v>
      </c>
      <c r="F69" s="132">
        <f>C69*Allocations!$B$6</f>
        <v>327200.98129371513</v>
      </c>
      <c r="G69" s="137">
        <f t="shared" ref="G69:G100" si="18">SUM(D69:F69)</f>
        <v>1052798.1863330088</v>
      </c>
      <c r="H69" s="111">
        <f t="shared" ref="H69:H103" si="19">SUM(D69:F69)/3</f>
        <v>350932.7287776696</v>
      </c>
      <c r="I69" s="143">
        <v>-929243.7425743551</v>
      </c>
      <c r="J69" s="144">
        <f t="shared" si="6"/>
        <v>-602042.76128064003</v>
      </c>
      <c r="K69" s="156">
        <f t="shared" si="9"/>
        <v>423151.35999999999</v>
      </c>
      <c r="L69" s="156">
        <f t="shared" si="10"/>
        <v>338521.09</v>
      </c>
      <c r="M69" s="156">
        <f t="shared" si="11"/>
        <v>-940563.85128064011</v>
      </c>
      <c r="N69" s="176">
        <f t="shared" ref="N69:N103" si="20">M69/H69</f>
        <v>-2.6801827648185137</v>
      </c>
      <c r="O69" s="181">
        <f t="shared" si="7"/>
        <v>1022642.0364816508</v>
      </c>
      <c r="P69" s="52"/>
      <c r="Q69" s="25"/>
      <c r="R69" s="25"/>
      <c r="S69" s="25"/>
      <c r="T69" s="119">
        <f t="shared" ref="T69:T103" si="21">IF(((M69-G69)-(Q69+S69))&gt;0,((M69-G69)-(Q69+S69)),0)</f>
        <v>0</v>
      </c>
      <c r="U69" s="58">
        <f t="shared" ref="U69:U100" si="22">IF(T69&gt;0,0,F69)</f>
        <v>327200.98129371513</v>
      </c>
      <c r="V69" s="59">
        <f t="shared" ref="V69:V100" si="23">IF(U69&gt;0.01,F69/$U$104,0)</f>
        <v>9.9329565744098285E-3</v>
      </c>
      <c r="W69" s="52">
        <f t="shared" si="12"/>
        <v>746.23173862220108</v>
      </c>
      <c r="X69" s="38">
        <f>C69*Allocations!$B$9</f>
        <v>327200.98129371513</v>
      </c>
      <c r="Y69" s="83">
        <f t="shared" si="8"/>
        <v>-939817.61954201781</v>
      </c>
      <c r="Z69" s="41"/>
      <c r="AA69" s="38"/>
      <c r="AB69" s="41"/>
      <c r="AC69" s="38"/>
      <c r="AD69" s="79"/>
      <c r="AE69" s="73"/>
      <c r="AF69" s="79"/>
      <c r="AG69" s="73"/>
      <c r="AH69" s="79"/>
      <c r="AI69" s="73"/>
      <c r="AJ69" s="26"/>
      <c r="AK69" s="38"/>
      <c r="AL69" s="79"/>
      <c r="AM69" s="73"/>
      <c r="AN69" s="26"/>
      <c r="AO69" s="38"/>
      <c r="AP69" s="79"/>
      <c r="AQ69" s="73"/>
      <c r="AR69" s="79">
        <v>423151.35999999999</v>
      </c>
      <c r="AS69" s="73">
        <v>338521.09</v>
      </c>
      <c r="AT69" s="79"/>
      <c r="AU69" s="73"/>
      <c r="AV69" s="108"/>
      <c r="AW69" s="109"/>
    </row>
    <row r="70" spans="1:50" ht="12.5">
      <c r="A70" s="27" t="s">
        <v>67</v>
      </c>
      <c r="B70" s="17">
        <v>66</v>
      </c>
      <c r="C70" s="124">
        <v>9.3403956595235222E-3</v>
      </c>
      <c r="D70" s="159">
        <v>352583.56627205235</v>
      </c>
      <c r="E70" s="159">
        <v>341593.84598145884</v>
      </c>
      <c r="F70" s="131">
        <f>C70*Allocations!$B$6</f>
        <v>309325.88305644051</v>
      </c>
      <c r="G70" s="136">
        <f t="shared" si="18"/>
        <v>1003503.2953099516</v>
      </c>
      <c r="H70" s="88">
        <f t="shared" si="19"/>
        <v>334501.09843665053</v>
      </c>
      <c r="I70" s="141">
        <v>1259652.3085010571</v>
      </c>
      <c r="J70" s="142">
        <f t="shared" ref="J70:J103" si="24">F70+I70</f>
        <v>1568978.1915574977</v>
      </c>
      <c r="K70" s="155">
        <f t="shared" ref="K70:K103" si="25">Z70+AB70+AD70+AF70+AH70+AJ70+AL70+AN70+AP70+AR70+AT70+AV70</f>
        <v>1000436.43</v>
      </c>
      <c r="L70" s="155">
        <f t="shared" ref="L70:L103" si="26">AA70+AC70+AE70+AG70+AI70+AK70+AM70+AO70+AQ70+AS70+AU70+AW70</f>
        <v>800349.14</v>
      </c>
      <c r="M70" s="155">
        <f t="shared" si="11"/>
        <v>768629.0515574977</v>
      </c>
      <c r="N70" s="175">
        <f t="shared" si="20"/>
        <v>2.2978371525529218</v>
      </c>
      <c r="O70" s="180">
        <f t="shared" ref="O70:O103" si="27">(F70*6)+M70</f>
        <v>2624584.3498961409</v>
      </c>
      <c r="P70" s="53"/>
      <c r="Q70" s="19"/>
      <c r="R70" s="21"/>
      <c r="S70" s="21"/>
      <c r="T70" s="118">
        <f t="shared" si="21"/>
        <v>0</v>
      </c>
      <c r="U70" s="57">
        <f t="shared" si="22"/>
        <v>309325.88305644051</v>
      </c>
      <c r="V70" s="56">
        <f t="shared" si="23"/>
        <v>9.3903158590545877E-3</v>
      </c>
      <c r="W70" s="51">
        <f t="shared" si="12"/>
        <v>705.46485099581525</v>
      </c>
      <c r="X70" s="37">
        <f>C70*Allocations!$B$9</f>
        <v>309325.88305644051</v>
      </c>
      <c r="Y70" s="54">
        <f t="shared" ref="Y70:Y104" si="28">I70-L70+W70+X70-T70</f>
        <v>769334.51640849339</v>
      </c>
      <c r="Z70" s="98">
        <v>384593</v>
      </c>
      <c r="AA70" s="36">
        <v>307674.40000000002</v>
      </c>
      <c r="AB70" s="84"/>
      <c r="AC70" s="72"/>
      <c r="AD70" s="74"/>
      <c r="AE70" s="72"/>
      <c r="AF70" s="75"/>
      <c r="AG70" s="36"/>
      <c r="AH70" s="74"/>
      <c r="AI70" s="72"/>
      <c r="AJ70" s="18"/>
      <c r="AK70" s="37"/>
      <c r="AL70" s="74"/>
      <c r="AM70" s="72"/>
      <c r="AN70" s="74"/>
      <c r="AO70" s="72"/>
      <c r="AP70" s="74"/>
      <c r="AQ70" s="72"/>
      <c r="AR70" s="18"/>
      <c r="AS70" s="37"/>
      <c r="AT70" s="74">
        <v>615843.43000000005</v>
      </c>
      <c r="AU70" s="72">
        <v>492674.74</v>
      </c>
      <c r="AV70" s="20"/>
      <c r="AW70" s="65"/>
    </row>
    <row r="71" spans="1:50" ht="12.5">
      <c r="A71" s="27" t="s">
        <v>68</v>
      </c>
      <c r="B71" s="17">
        <v>67</v>
      </c>
      <c r="C71" s="124">
        <v>1.3657619871381064E-2</v>
      </c>
      <c r="D71" s="159">
        <v>388965.17060877354</v>
      </c>
      <c r="E71" s="159">
        <v>404906.23526496626</v>
      </c>
      <c r="F71" s="131">
        <f>C71*Allocations!$B$6</f>
        <v>452299.3972805267</v>
      </c>
      <c r="G71" s="136">
        <f t="shared" si="18"/>
        <v>1246170.8031542664</v>
      </c>
      <c r="H71" s="88">
        <f t="shared" si="19"/>
        <v>415390.26771808881</v>
      </c>
      <c r="I71" s="141">
        <v>844909.4040628717</v>
      </c>
      <c r="J71" s="142">
        <f t="shared" si="24"/>
        <v>1297208.8013433984</v>
      </c>
      <c r="K71" s="155">
        <f t="shared" si="25"/>
        <v>849156.75</v>
      </c>
      <c r="L71" s="155">
        <f t="shared" si="26"/>
        <v>679325.4</v>
      </c>
      <c r="M71" s="155">
        <f t="shared" ref="M71:M103" si="29">J71-L71</f>
        <v>617883.40134339838</v>
      </c>
      <c r="N71" s="175">
        <f t="shared" si="20"/>
        <v>1.4874768365125366</v>
      </c>
      <c r="O71" s="180">
        <f t="shared" si="27"/>
        <v>3331679.7850265582</v>
      </c>
      <c r="P71" s="51"/>
      <c r="Q71" s="21"/>
      <c r="R71" s="21"/>
      <c r="S71" s="21"/>
      <c r="T71" s="118">
        <f t="shared" si="21"/>
        <v>0</v>
      </c>
      <c r="U71" s="57">
        <f t="shared" si="22"/>
        <v>452299.3972805267</v>
      </c>
      <c r="V71" s="56">
        <f t="shared" si="23"/>
        <v>1.3730613685985013E-2</v>
      </c>
      <c r="W71" s="51">
        <f t="shared" si="12"/>
        <v>1031.5377547949433</v>
      </c>
      <c r="X71" s="37">
        <f>C71*Allocations!$B$9</f>
        <v>452299.3972805267</v>
      </c>
      <c r="Y71" s="54">
        <f t="shared" si="28"/>
        <v>618914.93909819331</v>
      </c>
      <c r="Z71" s="40"/>
      <c r="AA71" s="37"/>
      <c r="AB71" s="167">
        <v>849156.75</v>
      </c>
      <c r="AC71" s="37">
        <v>679325.4</v>
      </c>
      <c r="AD71" s="74"/>
      <c r="AE71" s="72"/>
      <c r="AF71" s="75"/>
      <c r="AG71" s="36"/>
      <c r="AH71" s="74"/>
      <c r="AI71" s="72"/>
      <c r="AJ71" s="18"/>
      <c r="AK71" s="37"/>
      <c r="AL71" s="74"/>
      <c r="AM71" s="72"/>
      <c r="AN71" s="18"/>
      <c r="AO71" s="37"/>
      <c r="AP71" s="74"/>
      <c r="AQ71" s="72"/>
      <c r="AR71" s="18"/>
      <c r="AS71" s="37"/>
      <c r="AT71" s="18"/>
      <c r="AU71" s="37"/>
      <c r="AV71" s="20"/>
      <c r="AW71" s="65"/>
    </row>
    <row r="72" spans="1:50" ht="12.5">
      <c r="A72" s="27" t="s">
        <v>69</v>
      </c>
      <c r="B72" s="17">
        <v>68</v>
      </c>
      <c r="C72" s="124">
        <v>1.0428108994711709E-2</v>
      </c>
      <c r="D72" s="159">
        <v>361590.66721535049</v>
      </c>
      <c r="E72" s="159">
        <v>350768.6425728852</v>
      </c>
      <c r="F72" s="131">
        <f>C72*Allocations!$B$6</f>
        <v>345347.68557786767</v>
      </c>
      <c r="G72" s="136">
        <f t="shared" si="18"/>
        <v>1057706.9953661035</v>
      </c>
      <c r="H72" s="88">
        <f t="shared" si="19"/>
        <v>352568.99845536781</v>
      </c>
      <c r="I72" s="141">
        <v>713101.26273949386</v>
      </c>
      <c r="J72" s="142">
        <f t="shared" si="24"/>
        <v>1058448.9483173615</v>
      </c>
      <c r="K72" s="155">
        <f t="shared" si="25"/>
        <v>369603.4</v>
      </c>
      <c r="L72" s="155">
        <f t="shared" si="26"/>
        <v>295682.71999999997</v>
      </c>
      <c r="M72" s="155">
        <f t="shared" si="29"/>
        <v>762766.22831736156</v>
      </c>
      <c r="N72" s="175">
        <f t="shared" si="20"/>
        <v>2.1634523502040728</v>
      </c>
      <c r="O72" s="180">
        <f t="shared" si="27"/>
        <v>2834852.3417845676</v>
      </c>
      <c r="P72" s="51"/>
      <c r="Q72" s="21"/>
      <c r="R72" s="21"/>
      <c r="S72" s="21"/>
      <c r="T72" s="118">
        <f t="shared" si="21"/>
        <v>0</v>
      </c>
      <c r="U72" s="57">
        <f t="shared" si="22"/>
        <v>345347.68557786767</v>
      </c>
      <c r="V72" s="56">
        <f t="shared" si="23"/>
        <v>1.0483842531140321E-2</v>
      </c>
      <c r="W72" s="51">
        <f t="shared" ref="W72:W103" si="30">IF(V72&gt;0.000000001,V72*$T$104,0)</f>
        <v>787.61806526059934</v>
      </c>
      <c r="X72" s="37">
        <f>C72*Allocations!$B$9</f>
        <v>345347.68557786767</v>
      </c>
      <c r="Y72" s="54">
        <f t="shared" si="28"/>
        <v>763553.84638262214</v>
      </c>
      <c r="Z72" s="40"/>
      <c r="AA72" s="37"/>
      <c r="AB72" s="84"/>
      <c r="AC72" s="72"/>
      <c r="AD72" s="74"/>
      <c r="AE72" s="72"/>
      <c r="AF72" s="75"/>
      <c r="AG72" s="36"/>
      <c r="AH72" s="74"/>
      <c r="AI72" s="72"/>
      <c r="AJ72" s="74">
        <v>369603.4</v>
      </c>
      <c r="AK72" s="72">
        <v>295682.71999999997</v>
      </c>
      <c r="AL72" s="74"/>
      <c r="AM72" s="72"/>
      <c r="AN72" s="18"/>
      <c r="AO72" s="37"/>
      <c r="AP72" s="74"/>
      <c r="AQ72" s="72"/>
      <c r="AR72" s="18"/>
      <c r="AS72" s="37"/>
      <c r="AT72" s="74"/>
      <c r="AU72" s="72"/>
      <c r="AV72" s="94"/>
      <c r="AW72" s="95"/>
      <c r="AX72" s="96"/>
    </row>
    <row r="73" spans="1:50" ht="12.5">
      <c r="A73" s="27" t="s">
        <v>70</v>
      </c>
      <c r="B73" s="17">
        <v>69</v>
      </c>
      <c r="C73" s="124">
        <v>1.375854827960659E-2</v>
      </c>
      <c r="D73" s="159">
        <v>470070.53483734577</v>
      </c>
      <c r="E73" s="159">
        <v>433177.26513262751</v>
      </c>
      <c r="F73" s="131">
        <f>C73*Allocations!$B$6</f>
        <v>455641.84337573143</v>
      </c>
      <c r="G73" s="136">
        <f t="shared" si="18"/>
        <v>1358889.6433457048</v>
      </c>
      <c r="H73" s="88">
        <f t="shared" si="19"/>
        <v>452963.21444856824</v>
      </c>
      <c r="I73" s="141">
        <v>409987.87695668469</v>
      </c>
      <c r="J73" s="142">
        <f t="shared" si="24"/>
        <v>865629.72033241612</v>
      </c>
      <c r="K73" s="155">
        <f t="shared" si="25"/>
        <v>0</v>
      </c>
      <c r="L73" s="155">
        <f t="shared" si="26"/>
        <v>0</v>
      </c>
      <c r="M73" s="155">
        <f t="shared" si="29"/>
        <v>865629.72033241612</v>
      </c>
      <c r="N73" s="175">
        <f t="shared" si="20"/>
        <v>1.9110375693227604</v>
      </c>
      <c r="O73" s="180">
        <f t="shared" si="27"/>
        <v>3599480.7805868047</v>
      </c>
      <c r="P73" s="51"/>
      <c r="Q73" s="21"/>
      <c r="R73" s="21"/>
      <c r="S73" s="21"/>
      <c r="T73" s="118">
        <f t="shared" si="21"/>
        <v>0</v>
      </c>
      <c r="U73" s="57">
        <f t="shared" si="22"/>
        <v>455641.84337573143</v>
      </c>
      <c r="V73" s="56">
        <f t="shared" si="23"/>
        <v>1.3832081511004068E-2</v>
      </c>
      <c r="W73" s="51">
        <f t="shared" si="30"/>
        <v>1039.1607128649762</v>
      </c>
      <c r="X73" s="37">
        <f>C73*Allocations!$B$9</f>
        <v>455641.84337573143</v>
      </c>
      <c r="Y73" s="54">
        <f t="shared" si="28"/>
        <v>866668.88104528107</v>
      </c>
      <c r="Z73" s="40"/>
      <c r="AA73" s="37"/>
      <c r="AB73" s="84"/>
      <c r="AC73" s="72"/>
      <c r="AD73" s="74"/>
      <c r="AE73" s="72"/>
      <c r="AF73" s="75"/>
      <c r="AG73" s="36"/>
      <c r="AH73" s="74"/>
      <c r="AI73" s="72"/>
      <c r="AJ73" s="18"/>
      <c r="AK73" s="37"/>
      <c r="AL73" s="74"/>
      <c r="AM73" s="72"/>
      <c r="AN73" s="18"/>
      <c r="AO73" s="37"/>
      <c r="AP73" s="74"/>
      <c r="AQ73" s="72"/>
      <c r="AR73" s="18"/>
      <c r="AS73" s="37"/>
      <c r="AT73" s="18"/>
      <c r="AU73" s="37"/>
      <c r="AV73" s="94"/>
      <c r="AW73" s="95"/>
      <c r="AX73" s="96"/>
    </row>
    <row r="74" spans="1:50" ht="12.5">
      <c r="A74" s="22" t="s">
        <v>71</v>
      </c>
      <c r="B74" s="23">
        <v>70</v>
      </c>
      <c r="C74" s="125">
        <v>9.8023059776605522E-3</v>
      </c>
      <c r="D74" s="160">
        <v>345688.70717206452</v>
      </c>
      <c r="E74" s="160">
        <v>335749.73119583563</v>
      </c>
      <c r="F74" s="132">
        <f>C74*Allocations!$B$6</f>
        <v>324622.96706218453</v>
      </c>
      <c r="G74" s="137">
        <f t="shared" si="18"/>
        <v>1006061.4054300848</v>
      </c>
      <c r="H74" s="111">
        <f t="shared" si="19"/>
        <v>335353.80181002826</v>
      </c>
      <c r="I74" s="143">
        <v>-805434.80899705016</v>
      </c>
      <c r="J74" s="144">
        <f t="shared" si="24"/>
        <v>-480811.84193486563</v>
      </c>
      <c r="K74" s="156">
        <f t="shared" si="25"/>
        <v>0</v>
      </c>
      <c r="L74" s="156">
        <f t="shared" si="26"/>
        <v>0</v>
      </c>
      <c r="M74" s="156">
        <f t="shared" si="29"/>
        <v>-480811.84193486563</v>
      </c>
      <c r="N74" s="176">
        <f t="shared" si="20"/>
        <v>-1.4337450159793825</v>
      </c>
      <c r="O74" s="181">
        <f t="shared" si="27"/>
        <v>1466925.9604382415</v>
      </c>
      <c r="P74" s="52"/>
      <c r="Q74" s="25"/>
      <c r="R74" s="25"/>
      <c r="S74" s="25"/>
      <c r="T74" s="119">
        <f t="shared" si="21"/>
        <v>0</v>
      </c>
      <c r="U74" s="58">
        <f t="shared" si="22"/>
        <v>324622.96706218453</v>
      </c>
      <c r="V74" s="59">
        <f t="shared" si="23"/>
        <v>9.8546948793844791E-3</v>
      </c>
      <c r="W74" s="52">
        <f t="shared" si="30"/>
        <v>740.3521839992859</v>
      </c>
      <c r="X74" s="38">
        <f>C74*Allocations!$B$9</f>
        <v>324622.96706218453</v>
      </c>
      <c r="Y74" s="83">
        <f t="shared" si="28"/>
        <v>-480071.48975086637</v>
      </c>
      <c r="Z74" s="41"/>
      <c r="AA74" s="38"/>
      <c r="AB74" s="41"/>
      <c r="AC74" s="38"/>
      <c r="AD74" s="79"/>
      <c r="AE74" s="73"/>
      <c r="AF74" s="76"/>
      <c r="AG74" s="77"/>
      <c r="AH74" s="79"/>
      <c r="AI74" s="73"/>
      <c r="AJ74" s="79"/>
      <c r="AK74" s="73"/>
      <c r="AL74" s="110"/>
      <c r="AM74" s="111"/>
      <c r="AN74" s="79"/>
      <c r="AO74" s="73"/>
      <c r="AP74" s="79"/>
      <c r="AQ74" s="73"/>
      <c r="AR74" s="26"/>
      <c r="AS74" s="38"/>
      <c r="AT74" s="26"/>
      <c r="AU74" s="38"/>
      <c r="AV74" s="24"/>
      <c r="AW74" s="66"/>
      <c r="AX74" s="96"/>
    </row>
    <row r="75" spans="1:50" ht="12.5">
      <c r="A75" s="27" t="s">
        <v>72</v>
      </c>
      <c r="B75" s="17">
        <v>71</v>
      </c>
      <c r="C75" s="124">
        <v>6.001457339459614E-3</v>
      </c>
      <c r="D75" s="159">
        <v>214211.69148256927</v>
      </c>
      <c r="E75" s="159">
        <v>201737.28797264348</v>
      </c>
      <c r="F75" s="131">
        <f>C75*Allocations!$B$6</f>
        <v>198750.26271088404</v>
      </c>
      <c r="G75" s="136">
        <f t="shared" si="18"/>
        <v>614699.24216609681</v>
      </c>
      <c r="H75" s="88">
        <f t="shared" si="19"/>
        <v>204899.74738869895</v>
      </c>
      <c r="I75" s="141">
        <v>366139.20130313409</v>
      </c>
      <c r="J75" s="142">
        <f t="shared" si="24"/>
        <v>564889.46401401819</v>
      </c>
      <c r="K75" s="155">
        <f t="shared" si="25"/>
        <v>154162</v>
      </c>
      <c r="L75" s="155">
        <f t="shared" si="26"/>
        <v>123329.60000000001</v>
      </c>
      <c r="M75" s="155">
        <f t="shared" si="29"/>
        <v>441559.86401401821</v>
      </c>
      <c r="N75" s="175">
        <f t="shared" si="20"/>
        <v>2.155004433345495</v>
      </c>
      <c r="O75" s="180">
        <f t="shared" si="27"/>
        <v>1634061.4402793227</v>
      </c>
      <c r="P75" s="51"/>
      <c r="Q75" s="21"/>
      <c r="R75" s="21"/>
      <c r="S75" s="21"/>
      <c r="T75" s="118">
        <f t="shared" si="21"/>
        <v>0</v>
      </c>
      <c r="U75" s="57">
        <f t="shared" si="22"/>
        <v>198750.26271088404</v>
      </c>
      <c r="V75" s="56">
        <f t="shared" si="23"/>
        <v>6.0335324205144014E-3</v>
      </c>
      <c r="W75" s="51">
        <f t="shared" si="30"/>
        <v>453.28028512612241</v>
      </c>
      <c r="X75" s="37">
        <f>C75*Allocations!$B$9</f>
        <v>198750.26271088404</v>
      </c>
      <c r="Y75" s="54">
        <f t="shared" si="28"/>
        <v>442013.14429914427</v>
      </c>
      <c r="Z75" s="40"/>
      <c r="AA75" s="37"/>
      <c r="AB75" s="40"/>
      <c r="AC75" s="37"/>
      <c r="AD75" s="74">
        <v>154162</v>
      </c>
      <c r="AE75" s="72">
        <v>123329.60000000001</v>
      </c>
      <c r="AF75" s="75"/>
      <c r="AG75" s="36"/>
      <c r="AH75" s="74"/>
      <c r="AI75" s="72"/>
      <c r="AJ75" s="87"/>
      <c r="AK75" s="88"/>
      <c r="AL75" s="74"/>
      <c r="AM75" s="72"/>
      <c r="AN75" s="18"/>
      <c r="AO75" s="37"/>
      <c r="AP75" s="74"/>
      <c r="AQ75" s="72"/>
      <c r="AR75" s="18"/>
      <c r="AS75" s="37"/>
      <c r="AT75" s="18"/>
      <c r="AU75" s="37"/>
      <c r="AV75" s="20"/>
      <c r="AW75" s="65"/>
      <c r="AX75" s="183" t="s">
        <v>153</v>
      </c>
    </row>
    <row r="76" spans="1:50" ht="12.5">
      <c r="A76" s="27" t="s">
        <v>73</v>
      </c>
      <c r="B76" s="17">
        <v>72</v>
      </c>
      <c r="C76" s="124">
        <v>3.0605738170342051E-3</v>
      </c>
      <c r="D76" s="159">
        <v>121982.27143363115</v>
      </c>
      <c r="E76" s="159">
        <v>101316.25140353726</v>
      </c>
      <c r="F76" s="131">
        <f>C76*Allocations!$B$6</f>
        <v>101357.02309872177</v>
      </c>
      <c r="G76" s="136">
        <f t="shared" si="18"/>
        <v>324655.54593589017</v>
      </c>
      <c r="H76" s="88">
        <f t="shared" si="19"/>
        <v>108218.51531196339</v>
      </c>
      <c r="I76" s="141">
        <v>308032.95344870939</v>
      </c>
      <c r="J76" s="142">
        <f t="shared" si="24"/>
        <v>409389.97654743114</v>
      </c>
      <c r="K76" s="155">
        <f t="shared" si="25"/>
        <v>0</v>
      </c>
      <c r="L76" s="155">
        <f t="shared" si="26"/>
        <v>0</v>
      </c>
      <c r="M76" s="155">
        <f t="shared" si="29"/>
        <v>409389.97654743114</v>
      </c>
      <c r="N76" s="175">
        <f t="shared" si="20"/>
        <v>3.7829938376744088</v>
      </c>
      <c r="O76" s="180">
        <f t="shared" si="27"/>
        <v>1017532.1151397617</v>
      </c>
      <c r="P76" s="51"/>
      <c r="Q76" s="21"/>
      <c r="R76" s="21"/>
      <c r="S76" s="21"/>
      <c r="T76" s="182">
        <v>0</v>
      </c>
      <c r="U76" s="57">
        <f t="shared" si="22"/>
        <v>101357.02309872177</v>
      </c>
      <c r="V76" s="56">
        <f t="shared" si="23"/>
        <v>3.0769312028661555E-3</v>
      </c>
      <c r="W76" s="51">
        <f t="shared" si="30"/>
        <v>231.16014893804524</v>
      </c>
      <c r="X76" s="37">
        <f>C76*Allocations!$B$9</f>
        <v>101357.02309872177</v>
      </c>
      <c r="Y76" s="54">
        <f t="shared" si="28"/>
        <v>409621.13669636921</v>
      </c>
      <c r="Z76" s="40"/>
      <c r="AA76" s="37"/>
      <c r="AB76" s="40"/>
      <c r="AC76" s="37"/>
      <c r="AD76" s="74"/>
      <c r="AE76" s="72"/>
      <c r="AF76" s="75"/>
      <c r="AG76" s="36"/>
      <c r="AH76" s="74"/>
      <c r="AI76" s="72"/>
      <c r="AJ76" s="18"/>
      <c r="AK76" s="37"/>
      <c r="AL76" s="74"/>
      <c r="AM76" s="72"/>
      <c r="AN76" s="18"/>
      <c r="AO76" s="37"/>
      <c r="AP76" s="74"/>
      <c r="AQ76" s="72"/>
      <c r="AR76" s="18"/>
      <c r="AS76" s="37"/>
      <c r="AT76" s="18"/>
      <c r="AU76" s="37"/>
      <c r="AV76" s="20"/>
      <c r="AW76" s="65"/>
    </row>
    <row r="77" spans="1:50" ht="12.5">
      <c r="A77" s="27" t="s">
        <v>74</v>
      </c>
      <c r="B77" s="17">
        <v>73</v>
      </c>
      <c r="C77" s="124">
        <v>1.3985058307287596E-2</v>
      </c>
      <c r="D77" s="159">
        <v>421871.85880481062</v>
      </c>
      <c r="E77" s="159">
        <v>466878.32560124196</v>
      </c>
      <c r="F77" s="131">
        <f>C77*Allocations!$B$6</f>
        <v>463143.17596244335</v>
      </c>
      <c r="G77" s="136">
        <f t="shared" si="18"/>
        <v>1351893.3603684958</v>
      </c>
      <c r="H77" s="88">
        <f t="shared" si="19"/>
        <v>450631.12012283196</v>
      </c>
      <c r="I77" s="141">
        <v>1372665.1002261506</v>
      </c>
      <c r="J77" s="142">
        <f t="shared" si="24"/>
        <v>1835808.2761885938</v>
      </c>
      <c r="K77" s="155">
        <f t="shared" si="25"/>
        <v>3446917.0500000003</v>
      </c>
      <c r="L77" s="155">
        <f t="shared" si="26"/>
        <v>1347243.46</v>
      </c>
      <c r="M77" s="155">
        <f t="shared" si="29"/>
        <v>488564.81618859386</v>
      </c>
      <c r="N77" s="175">
        <f t="shared" si="20"/>
        <v>1.0841790421740558</v>
      </c>
      <c r="O77" s="180">
        <f t="shared" si="27"/>
        <v>3267423.8719632537</v>
      </c>
      <c r="P77" s="50"/>
      <c r="Q77" s="129"/>
      <c r="R77" s="21"/>
      <c r="S77" s="21"/>
      <c r="T77" s="118">
        <f t="shared" si="21"/>
        <v>0</v>
      </c>
      <c r="U77" s="57">
        <f t="shared" si="22"/>
        <v>463143.17596244335</v>
      </c>
      <c r="V77" s="56">
        <f t="shared" si="23"/>
        <v>1.4059802132560304E-2</v>
      </c>
      <c r="W77" s="51">
        <f t="shared" si="30"/>
        <v>1056.2686458425383</v>
      </c>
      <c r="X77" s="37">
        <f>C77*Allocations!$B$9</f>
        <v>463143.17596244335</v>
      </c>
      <c r="Y77" s="54">
        <f t="shared" si="28"/>
        <v>489621.08483443654</v>
      </c>
      <c r="Z77" s="84">
        <v>498367.95</v>
      </c>
      <c r="AA77" s="72">
        <v>398694.36</v>
      </c>
      <c r="AB77" s="40"/>
      <c r="AC77" s="37"/>
      <c r="AD77" s="74"/>
      <c r="AE77" s="72"/>
      <c r="AF77" s="75"/>
      <c r="AG77" s="36"/>
      <c r="AH77" s="74"/>
      <c r="AI77" s="72"/>
      <c r="AJ77" s="18"/>
      <c r="AK77" s="37"/>
      <c r="AL77" s="74"/>
      <c r="AM77" s="72"/>
      <c r="AN77" s="74"/>
      <c r="AO77" s="72"/>
      <c r="AP77" s="74"/>
      <c r="AQ77" s="72"/>
      <c r="AR77" s="74"/>
      <c r="AS77" s="72"/>
      <c r="AT77" s="18"/>
      <c r="AU77" s="37"/>
      <c r="AV77" s="91">
        <v>2948549.1</v>
      </c>
      <c r="AW77" s="67">
        <v>948549.1</v>
      </c>
    </row>
    <row r="78" spans="1:50" ht="12.5">
      <c r="A78" s="27" t="s">
        <v>75</v>
      </c>
      <c r="B78" s="17">
        <v>74</v>
      </c>
      <c r="C78" s="124">
        <v>5.6888376661101484E-3</v>
      </c>
      <c r="D78" s="159">
        <v>183324.76965745093</v>
      </c>
      <c r="E78" s="159">
        <v>180075.48937245691</v>
      </c>
      <c r="F78" s="131">
        <f>C78*Allocations!$B$6</f>
        <v>188397.23698856978</v>
      </c>
      <c r="G78" s="136">
        <f t="shared" si="18"/>
        <v>551797.49601847772</v>
      </c>
      <c r="H78" s="88">
        <f t="shared" si="19"/>
        <v>183932.4986728259</v>
      </c>
      <c r="I78" s="141">
        <v>310384.46586947271</v>
      </c>
      <c r="J78" s="142">
        <f t="shared" si="24"/>
        <v>498781.7028580425</v>
      </c>
      <c r="K78" s="155">
        <f t="shared" si="25"/>
        <v>632240.79</v>
      </c>
      <c r="L78" s="155">
        <f t="shared" si="26"/>
        <v>505792.63</v>
      </c>
      <c r="M78" s="155">
        <f t="shared" si="29"/>
        <v>-7010.9271419575089</v>
      </c>
      <c r="N78" s="175">
        <f t="shared" si="20"/>
        <v>-3.8116848259797498E-2</v>
      </c>
      <c r="O78" s="180">
        <f t="shared" si="27"/>
        <v>1123372.4947894611</v>
      </c>
      <c r="P78" s="50"/>
      <c r="Q78" s="129"/>
      <c r="R78" s="21"/>
      <c r="S78" s="21"/>
      <c r="T78" s="118">
        <f t="shared" si="21"/>
        <v>0</v>
      </c>
      <c r="U78" s="57">
        <f t="shared" si="22"/>
        <v>188397.23698856978</v>
      </c>
      <c r="V78" s="56">
        <f t="shared" si="23"/>
        <v>5.719241936094418E-3</v>
      </c>
      <c r="W78" s="51">
        <f t="shared" si="30"/>
        <v>429.66863104667499</v>
      </c>
      <c r="X78" s="37">
        <f>C78*Allocations!$B$9</f>
        <v>188397.23698856978</v>
      </c>
      <c r="Y78" s="54">
        <f t="shared" si="28"/>
        <v>-6581.2585109108477</v>
      </c>
      <c r="Z78" s="84">
        <v>632240.79</v>
      </c>
      <c r="AA78" s="72">
        <v>505792.63</v>
      </c>
      <c r="AB78" s="40"/>
      <c r="AC78" s="37"/>
      <c r="AD78" s="87"/>
      <c r="AE78" s="88"/>
      <c r="AF78" s="75"/>
      <c r="AG78" s="36"/>
      <c r="AH78" s="74"/>
      <c r="AI78" s="72"/>
      <c r="AJ78" s="18"/>
      <c r="AK78" s="37"/>
      <c r="AL78" s="74"/>
      <c r="AM78" s="72"/>
      <c r="AN78" s="18"/>
      <c r="AO78" s="37"/>
      <c r="AP78" s="74"/>
      <c r="AQ78" s="72"/>
      <c r="AR78" s="74"/>
      <c r="AS78" s="72"/>
      <c r="AT78" s="18"/>
      <c r="AU78" s="37"/>
      <c r="AV78" s="20"/>
      <c r="AW78" s="65"/>
    </row>
    <row r="79" spans="1:50" ht="12.5">
      <c r="A79" s="22" t="s">
        <v>76</v>
      </c>
      <c r="B79" s="23">
        <v>75</v>
      </c>
      <c r="C79" s="125">
        <v>1.6234519685092489E-2</v>
      </c>
      <c r="D79" s="160">
        <v>609339.99590693228</v>
      </c>
      <c r="E79" s="160">
        <v>543304.51725040027</v>
      </c>
      <c r="F79" s="132">
        <f>C79*Allocations!$B$6</f>
        <v>537638.58841120801</v>
      </c>
      <c r="G79" s="137">
        <f t="shared" si="18"/>
        <v>1690283.1015685406</v>
      </c>
      <c r="H79" s="111">
        <f t="shared" si="19"/>
        <v>563427.70052284689</v>
      </c>
      <c r="I79" s="143">
        <v>204866.28954194306</v>
      </c>
      <c r="J79" s="144">
        <f t="shared" si="24"/>
        <v>742504.87795315101</v>
      </c>
      <c r="K79" s="156">
        <f t="shared" si="25"/>
        <v>328658</v>
      </c>
      <c r="L79" s="156">
        <f t="shared" si="26"/>
        <v>262926.40000000002</v>
      </c>
      <c r="M79" s="156">
        <f t="shared" si="29"/>
        <v>479578.47795315098</v>
      </c>
      <c r="N79" s="176">
        <f t="shared" si="20"/>
        <v>0.85118015587113327</v>
      </c>
      <c r="O79" s="181">
        <f t="shared" si="27"/>
        <v>3705410.0084203989</v>
      </c>
      <c r="P79" s="52"/>
      <c r="Q79" s="25"/>
      <c r="R79" s="25"/>
      <c r="S79" s="25"/>
      <c r="T79" s="119">
        <f t="shared" si="21"/>
        <v>0</v>
      </c>
      <c r="U79" s="58">
        <f t="shared" si="22"/>
        <v>537638.58841120801</v>
      </c>
      <c r="V79" s="59">
        <f t="shared" si="23"/>
        <v>1.6321285866260041E-2</v>
      </c>
      <c r="W79" s="52">
        <f t="shared" si="30"/>
        <v>1226.1667950816382</v>
      </c>
      <c r="X79" s="38">
        <f>C79*Allocations!$B$9</f>
        <v>537638.58841120801</v>
      </c>
      <c r="Y79" s="83">
        <f t="shared" si="28"/>
        <v>480804.64474823268</v>
      </c>
      <c r="Z79" s="41"/>
      <c r="AA79" s="38"/>
      <c r="AB79" s="41"/>
      <c r="AC79" s="38"/>
      <c r="AD79" s="110"/>
      <c r="AE79" s="111"/>
      <c r="AF79" s="76"/>
      <c r="AG79" s="77"/>
      <c r="AH79" s="79">
        <v>328658</v>
      </c>
      <c r="AI79" s="101">
        <v>262926.40000000002</v>
      </c>
      <c r="AJ79" s="79"/>
      <c r="AK79" s="73"/>
      <c r="AL79" s="79"/>
      <c r="AM79" s="73"/>
      <c r="AN79" s="26"/>
      <c r="AO79" s="38"/>
      <c r="AP79" s="79"/>
      <c r="AQ79" s="73"/>
      <c r="AR79" s="26"/>
      <c r="AS79" s="38"/>
      <c r="AT79" s="26"/>
      <c r="AU79" s="38"/>
      <c r="AV79" s="24"/>
      <c r="AW79" s="66"/>
      <c r="AX79" s="96"/>
    </row>
    <row r="80" spans="1:50" ht="12.5">
      <c r="A80" s="27" t="s">
        <v>77</v>
      </c>
      <c r="B80" s="17">
        <v>76</v>
      </c>
      <c r="C80" s="124">
        <v>7.2747830226749044E-3</v>
      </c>
      <c r="D80" s="159">
        <v>223629.14767360454</v>
      </c>
      <c r="E80" s="159">
        <v>228366.98301691929</v>
      </c>
      <c r="F80" s="131">
        <f>C80*Allocations!$B$6</f>
        <v>240918.98936192482</v>
      </c>
      <c r="G80" s="136">
        <f t="shared" si="18"/>
        <v>692915.12005244871</v>
      </c>
      <c r="H80" s="88">
        <f t="shared" si="19"/>
        <v>230971.70668414957</v>
      </c>
      <c r="I80" s="141">
        <v>-67835.209694340534</v>
      </c>
      <c r="J80" s="142">
        <f t="shared" si="24"/>
        <v>173083.77966758428</v>
      </c>
      <c r="K80" s="155">
        <f t="shared" si="25"/>
        <v>0</v>
      </c>
      <c r="L80" s="155">
        <f t="shared" si="26"/>
        <v>0</v>
      </c>
      <c r="M80" s="155">
        <f t="shared" si="29"/>
        <v>173083.77966758428</v>
      </c>
      <c r="N80" s="175">
        <f t="shared" si="20"/>
        <v>0.7493722159843319</v>
      </c>
      <c r="O80" s="180">
        <f t="shared" si="27"/>
        <v>1618597.7158391331</v>
      </c>
      <c r="P80" s="51"/>
      <c r="Q80" s="21"/>
      <c r="R80" s="21"/>
      <c r="S80" s="21"/>
      <c r="T80" s="118">
        <f t="shared" si="21"/>
        <v>0</v>
      </c>
      <c r="U80" s="57">
        <f t="shared" si="22"/>
        <v>240918.98936192482</v>
      </c>
      <c r="V80" s="56">
        <f t="shared" si="23"/>
        <v>7.3136634548616134E-3</v>
      </c>
      <c r="W80" s="51">
        <f t="shared" si="30"/>
        <v>549.45249732387026</v>
      </c>
      <c r="X80" s="37">
        <f>C80*Allocations!$B$9</f>
        <v>240918.98936192482</v>
      </c>
      <c r="Y80" s="54">
        <f t="shared" si="28"/>
        <v>173633.23216490814</v>
      </c>
      <c r="Z80" s="40"/>
      <c r="AA80" s="37"/>
      <c r="AB80" s="40"/>
      <c r="AC80" s="37"/>
      <c r="AD80" s="74"/>
      <c r="AE80" s="72"/>
      <c r="AF80" s="75"/>
      <c r="AG80" s="36"/>
      <c r="AH80" s="80"/>
      <c r="AI80" s="81"/>
      <c r="AJ80" s="18"/>
      <c r="AK80" s="37"/>
      <c r="AL80" s="74"/>
      <c r="AM80" s="72"/>
      <c r="AN80" s="18"/>
      <c r="AO80" s="37"/>
      <c r="AP80" s="74"/>
      <c r="AQ80" s="72"/>
      <c r="AR80" s="74"/>
      <c r="AS80" s="72"/>
      <c r="AT80" s="18"/>
      <c r="AU80" s="37"/>
      <c r="AV80" s="20"/>
      <c r="AW80" s="65"/>
    </row>
    <row r="81" spans="1:50" ht="12.5">
      <c r="A81" s="27" t="s">
        <v>78</v>
      </c>
      <c r="B81" s="17">
        <v>77</v>
      </c>
      <c r="C81" s="124">
        <v>9.4841297318939925E-3</v>
      </c>
      <c r="D81" s="159">
        <v>317951.48373123747</v>
      </c>
      <c r="E81" s="159">
        <v>313749.90198879823</v>
      </c>
      <c r="F81" s="131">
        <f>C81*Allocations!$B$6</f>
        <v>314085.92433113337</v>
      </c>
      <c r="G81" s="136">
        <f t="shared" si="18"/>
        <v>945787.31005116913</v>
      </c>
      <c r="H81" s="88">
        <f t="shared" si="19"/>
        <v>315262.43668372306</v>
      </c>
      <c r="I81" s="141">
        <v>275986.68598517874</v>
      </c>
      <c r="J81" s="142">
        <f t="shared" si="24"/>
        <v>590072.61031631217</v>
      </c>
      <c r="K81" s="155">
        <f t="shared" si="25"/>
        <v>1042493.99</v>
      </c>
      <c r="L81" s="155">
        <f t="shared" si="26"/>
        <v>580828</v>
      </c>
      <c r="M81" s="155">
        <f t="shared" si="29"/>
        <v>9244.6103163121734</v>
      </c>
      <c r="N81" s="175">
        <f t="shared" si="20"/>
        <v>2.9323538869892491E-2</v>
      </c>
      <c r="O81" s="180">
        <f t="shared" si="27"/>
        <v>1893760.1563031124</v>
      </c>
      <c r="P81" s="51"/>
      <c r="Q81" s="21"/>
      <c r="R81" s="21"/>
      <c r="S81" s="21"/>
      <c r="T81" s="118">
        <f t="shared" si="21"/>
        <v>0</v>
      </c>
      <c r="U81" s="57">
        <f t="shared" si="22"/>
        <v>314085.92433113337</v>
      </c>
      <c r="V81" s="56">
        <f t="shared" si="23"/>
        <v>9.5348181251754833E-3</v>
      </c>
      <c r="W81" s="51">
        <f t="shared" si="30"/>
        <v>716.32085106733985</v>
      </c>
      <c r="X81" s="37">
        <f>C81*Allocations!$B$9</f>
        <v>314085.92433113337</v>
      </c>
      <c r="Y81" s="54">
        <f t="shared" si="28"/>
        <v>9960.9311673794291</v>
      </c>
      <c r="Z81" s="40"/>
      <c r="AA81" s="37"/>
      <c r="AB81" s="40"/>
      <c r="AC81" s="37"/>
      <c r="AD81" s="74"/>
      <c r="AE81" s="72"/>
      <c r="AF81" s="75"/>
      <c r="AG81" s="36"/>
      <c r="AH81" s="74"/>
      <c r="AI81" s="72"/>
      <c r="AJ81" s="18"/>
      <c r="AK81" s="37"/>
      <c r="AL81" s="74"/>
      <c r="AM81" s="72"/>
      <c r="AN81" s="74">
        <v>1042493.99</v>
      </c>
      <c r="AO81" s="72">
        <v>580828</v>
      </c>
      <c r="AP81" s="74"/>
      <c r="AQ81" s="72"/>
      <c r="AR81" s="18"/>
      <c r="AS81" s="37"/>
      <c r="AT81" s="18"/>
      <c r="AU81" s="37"/>
      <c r="AV81" s="20"/>
      <c r="AW81" s="65"/>
    </row>
    <row r="82" spans="1:50" ht="12.5">
      <c r="A82" s="27" t="s">
        <v>79</v>
      </c>
      <c r="B82" s="17">
        <v>78</v>
      </c>
      <c r="C82" s="124">
        <v>1.8390044952754422E-2</v>
      </c>
      <c r="D82" s="159">
        <v>672350.3972772616</v>
      </c>
      <c r="E82" s="159">
        <v>582816.30459254386</v>
      </c>
      <c r="F82" s="131">
        <f>C82*Allocations!$B$6</f>
        <v>609023.11870036821</v>
      </c>
      <c r="G82" s="136">
        <f t="shared" si="18"/>
        <v>1864189.8205701737</v>
      </c>
      <c r="H82" s="88">
        <f t="shared" si="19"/>
        <v>621396.6068567246</v>
      </c>
      <c r="I82" s="141">
        <v>1414325.5647901967</v>
      </c>
      <c r="J82" s="142">
        <f t="shared" si="24"/>
        <v>2023348.683490565</v>
      </c>
      <c r="K82" s="155">
        <f t="shared" si="25"/>
        <v>1322383.22</v>
      </c>
      <c r="L82" s="155">
        <f t="shared" si="26"/>
        <v>1057906.57</v>
      </c>
      <c r="M82" s="155">
        <f t="shared" si="29"/>
        <v>965442.11349056498</v>
      </c>
      <c r="N82" s="175">
        <f t="shared" si="20"/>
        <v>1.5536649264535924</v>
      </c>
      <c r="O82" s="180">
        <f t="shared" si="27"/>
        <v>4619580.8256927738</v>
      </c>
      <c r="P82" s="51"/>
      <c r="Q82" s="21"/>
      <c r="R82" s="21"/>
      <c r="S82" s="21"/>
      <c r="T82" s="118">
        <f t="shared" si="21"/>
        <v>0</v>
      </c>
      <c r="U82" s="57">
        <f t="shared" si="22"/>
        <v>609023.11870036821</v>
      </c>
      <c r="V82" s="56">
        <f t="shared" si="23"/>
        <v>1.8488331443700951E-2</v>
      </c>
      <c r="W82" s="51">
        <f t="shared" si="30"/>
        <v>1388.9701031212048</v>
      </c>
      <c r="X82" s="37">
        <f>C82*Allocations!$B$9</f>
        <v>609023.11870036821</v>
      </c>
      <c r="Y82" s="54">
        <f t="shared" si="28"/>
        <v>966831.08359368611</v>
      </c>
      <c r="Z82" s="40"/>
      <c r="AA82" s="37"/>
      <c r="AB82" s="40"/>
      <c r="AC82" s="37"/>
      <c r="AD82" s="74"/>
      <c r="AE82" s="72"/>
      <c r="AF82" s="75"/>
      <c r="AG82" s="36"/>
      <c r="AH82" s="74"/>
      <c r="AI82" s="72"/>
      <c r="AJ82" s="18"/>
      <c r="AK82" s="37"/>
      <c r="AL82" s="74"/>
      <c r="AM82" s="72"/>
      <c r="AN82" s="74"/>
      <c r="AO82" s="72"/>
      <c r="AP82" s="74">
        <v>1322383.22</v>
      </c>
      <c r="AQ82" s="72">
        <v>1057906.57</v>
      </c>
      <c r="AR82" s="18"/>
      <c r="AS82" s="37"/>
      <c r="AT82" s="74"/>
      <c r="AU82" s="72"/>
      <c r="AV82" s="20"/>
      <c r="AW82" s="65"/>
    </row>
    <row r="83" spans="1:50" ht="12.5">
      <c r="A83" s="27" t="s">
        <v>80</v>
      </c>
      <c r="B83" s="17">
        <v>79</v>
      </c>
      <c r="C83" s="124">
        <v>1.1891344726499178E-2</v>
      </c>
      <c r="D83" s="159">
        <v>362948.0355866981</v>
      </c>
      <c r="E83" s="159">
        <v>394512.88152470865</v>
      </c>
      <c r="F83" s="131">
        <f>C83*Allocations!$B$6</f>
        <v>393805.6633074733</v>
      </c>
      <c r="G83" s="136">
        <f t="shared" si="18"/>
        <v>1151266.5804188801</v>
      </c>
      <c r="H83" s="88">
        <f t="shared" si="19"/>
        <v>383755.52680629335</v>
      </c>
      <c r="I83" s="141">
        <v>681417.9886394965</v>
      </c>
      <c r="J83" s="142">
        <f t="shared" si="24"/>
        <v>1075223.6519469698</v>
      </c>
      <c r="K83" s="155">
        <f t="shared" si="25"/>
        <v>140600</v>
      </c>
      <c r="L83" s="155">
        <f t="shared" si="26"/>
        <v>112480</v>
      </c>
      <c r="M83" s="155">
        <f t="shared" si="29"/>
        <v>962743.6519469698</v>
      </c>
      <c r="N83" s="175">
        <f t="shared" si="20"/>
        <v>2.5087421149583333</v>
      </c>
      <c r="O83" s="180">
        <f t="shared" si="27"/>
        <v>3325577.6317918096</v>
      </c>
      <c r="P83" s="51"/>
      <c r="Q83" s="21"/>
      <c r="R83" s="21"/>
      <c r="S83" s="21"/>
      <c r="T83" s="118">
        <f t="shared" si="21"/>
        <v>0</v>
      </c>
      <c r="U83" s="57">
        <f t="shared" si="22"/>
        <v>393805.6633074733</v>
      </c>
      <c r="V83" s="56">
        <f t="shared" si="23"/>
        <v>1.1954898597563973E-2</v>
      </c>
      <c r="W83" s="51">
        <f t="shared" si="30"/>
        <v>898.13387370439898</v>
      </c>
      <c r="X83" s="37">
        <f>C83*Allocations!$B$9</f>
        <v>393805.6633074733</v>
      </c>
      <c r="Y83" s="54">
        <f t="shared" si="28"/>
        <v>963641.78582067415</v>
      </c>
      <c r="Z83" s="40"/>
      <c r="AA83" s="37"/>
      <c r="AB83" s="97"/>
      <c r="AC83" s="88"/>
      <c r="AD83" s="74">
        <v>140600</v>
      </c>
      <c r="AE83" s="72">
        <f>AD83*0.8</f>
        <v>112480</v>
      </c>
      <c r="AF83" s="75"/>
      <c r="AG83" s="36"/>
      <c r="AH83" s="74"/>
      <c r="AI83" s="72"/>
      <c r="AJ83" s="18"/>
      <c r="AK83" s="37"/>
      <c r="AL83" s="74"/>
      <c r="AM83" s="72"/>
      <c r="AN83" s="74"/>
      <c r="AO83" s="72"/>
      <c r="AP83" s="74"/>
      <c r="AQ83" s="72"/>
      <c r="AR83" s="18"/>
      <c r="AS83" s="37"/>
      <c r="AT83" s="18"/>
      <c r="AU83" s="37"/>
      <c r="AV83" s="91"/>
      <c r="AW83" s="92"/>
      <c r="AX83" s="123"/>
    </row>
    <row r="84" spans="1:50" ht="12.5">
      <c r="A84" s="22" t="s">
        <v>81</v>
      </c>
      <c r="B84" s="23">
        <v>80</v>
      </c>
      <c r="C84" s="125">
        <v>1.1536876322616524E-2</v>
      </c>
      <c r="D84" s="160">
        <v>344764.08984318998</v>
      </c>
      <c r="E84" s="160">
        <v>339937.09117818769</v>
      </c>
      <c r="F84" s="132">
        <f>C84*Allocations!$B$6</f>
        <v>382066.73317609139</v>
      </c>
      <c r="G84" s="137">
        <f t="shared" si="18"/>
        <v>1066767.9141974691</v>
      </c>
      <c r="H84" s="111">
        <f t="shared" si="19"/>
        <v>355589.30473248969</v>
      </c>
      <c r="I84" s="143">
        <v>554375.25840595481</v>
      </c>
      <c r="J84" s="144">
        <f t="shared" si="24"/>
        <v>936441.99158204626</v>
      </c>
      <c r="K84" s="156">
        <f t="shared" si="25"/>
        <v>0</v>
      </c>
      <c r="L84" s="156">
        <f t="shared" si="26"/>
        <v>0</v>
      </c>
      <c r="M84" s="156">
        <f t="shared" si="29"/>
        <v>936441.99158204626</v>
      </c>
      <c r="N84" s="176">
        <f t="shared" si="20"/>
        <v>2.6334931313148826</v>
      </c>
      <c r="O84" s="181">
        <f t="shared" si="27"/>
        <v>3228842.3906385945</v>
      </c>
      <c r="P84" s="52"/>
      <c r="Q84" s="25"/>
      <c r="R84" s="25"/>
      <c r="S84" s="25"/>
      <c r="T84" s="119">
        <f t="shared" si="21"/>
        <v>0</v>
      </c>
      <c r="U84" s="58">
        <f t="shared" si="22"/>
        <v>382066.73317609139</v>
      </c>
      <c r="V84" s="59">
        <f t="shared" si="23"/>
        <v>1.1598535720032201E-2</v>
      </c>
      <c r="W84" s="52">
        <f t="shared" si="30"/>
        <v>871.36145325850123</v>
      </c>
      <c r="X84" s="38">
        <f>C84*Allocations!$B$9</f>
        <v>382066.73317609139</v>
      </c>
      <c r="Y84" s="83">
        <f t="shared" si="28"/>
        <v>937313.3530353047</v>
      </c>
      <c r="Z84" s="41"/>
      <c r="AA84" s="38"/>
      <c r="AB84" s="41"/>
      <c r="AC84" s="38"/>
      <c r="AD84" s="79"/>
      <c r="AE84" s="73"/>
      <c r="AF84" s="76"/>
      <c r="AG84" s="77"/>
      <c r="AH84" s="79"/>
      <c r="AI84" s="73"/>
      <c r="AJ84" s="26"/>
      <c r="AK84" s="38"/>
      <c r="AL84" s="79"/>
      <c r="AM84" s="73"/>
      <c r="AN84" s="26"/>
      <c r="AO84" s="38"/>
      <c r="AP84" s="79"/>
      <c r="AQ84" s="73"/>
      <c r="AR84" s="26"/>
      <c r="AS84" s="38"/>
      <c r="AT84" s="26"/>
      <c r="AU84" s="38"/>
      <c r="AV84" s="24"/>
      <c r="AW84" s="66"/>
    </row>
    <row r="85" spans="1:50" ht="12.5">
      <c r="A85" s="27" t="s">
        <v>82</v>
      </c>
      <c r="B85" s="17">
        <v>81</v>
      </c>
      <c r="C85" s="124">
        <v>8.7129807985571635E-3</v>
      </c>
      <c r="D85" s="159">
        <v>308000.93627101363</v>
      </c>
      <c r="E85" s="159">
        <v>266053.15654320479</v>
      </c>
      <c r="F85" s="131">
        <f>C85*Allocations!$B$6</f>
        <v>288547.7851058176</v>
      </c>
      <c r="G85" s="136">
        <f t="shared" si="18"/>
        <v>862601.87792003609</v>
      </c>
      <c r="H85" s="88">
        <f t="shared" si="19"/>
        <v>287533.95930667868</v>
      </c>
      <c r="I85" s="141">
        <v>528947.40776709083</v>
      </c>
      <c r="J85" s="142">
        <f t="shared" si="24"/>
        <v>817495.19287290843</v>
      </c>
      <c r="K85" s="155">
        <f t="shared" si="25"/>
        <v>0</v>
      </c>
      <c r="L85" s="155">
        <f t="shared" si="26"/>
        <v>0</v>
      </c>
      <c r="M85" s="155">
        <f t="shared" si="29"/>
        <v>817495.19287290843</v>
      </c>
      <c r="N85" s="175">
        <f t="shared" si="20"/>
        <v>2.8431257123301474</v>
      </c>
      <c r="O85" s="180">
        <f t="shared" si="27"/>
        <v>2548781.9035078138</v>
      </c>
      <c r="P85" s="51"/>
      <c r="Q85" s="21"/>
      <c r="R85" s="21"/>
      <c r="S85" s="21"/>
      <c r="T85" s="118">
        <f t="shared" si="21"/>
        <v>0</v>
      </c>
      <c r="U85" s="57">
        <f t="shared" si="22"/>
        <v>288547.7851058176</v>
      </c>
      <c r="V85" s="56">
        <f t="shared" si="23"/>
        <v>8.7595477488052326E-3</v>
      </c>
      <c r="W85" s="51">
        <f t="shared" si="30"/>
        <v>658.07722979232847</v>
      </c>
      <c r="X85" s="37">
        <f>C85*Allocations!$B$9</f>
        <v>288547.7851058176</v>
      </c>
      <c r="Y85" s="54">
        <f t="shared" si="28"/>
        <v>818153.2701027008</v>
      </c>
      <c r="Z85" s="40"/>
      <c r="AA85" s="37"/>
      <c r="AB85" s="40"/>
      <c r="AC85" s="37"/>
      <c r="AD85" s="74"/>
      <c r="AE85" s="72"/>
      <c r="AF85" s="75"/>
      <c r="AG85" s="36"/>
      <c r="AH85" s="74"/>
      <c r="AI85" s="106"/>
      <c r="AJ85" s="18"/>
      <c r="AK85" s="37"/>
      <c r="AL85" s="74"/>
      <c r="AM85" s="72"/>
      <c r="AN85" s="18"/>
      <c r="AO85" s="37"/>
      <c r="AP85" s="74"/>
      <c r="AQ85" s="72"/>
      <c r="AR85" s="18"/>
      <c r="AS85" s="37"/>
      <c r="AT85" s="18"/>
      <c r="AU85" s="37"/>
      <c r="AV85" s="20"/>
      <c r="AW85" s="65"/>
    </row>
    <row r="86" spans="1:50" ht="12.5">
      <c r="A86" s="27" t="s">
        <v>83</v>
      </c>
      <c r="B86" s="17">
        <v>82</v>
      </c>
      <c r="C86" s="124">
        <v>5.6727244132815458E-3</v>
      </c>
      <c r="D86" s="159">
        <v>173251.33142950459</v>
      </c>
      <c r="E86" s="159">
        <v>190404.21283394852</v>
      </c>
      <c r="F86" s="131">
        <f>C86*Allocations!$B$6</f>
        <v>187863.61439464494</v>
      </c>
      <c r="G86" s="136">
        <f t="shared" si="18"/>
        <v>551519.15865809808</v>
      </c>
      <c r="H86" s="88">
        <f t="shared" si="19"/>
        <v>183839.71955269936</v>
      </c>
      <c r="I86" s="141">
        <v>-448029.80231591081</v>
      </c>
      <c r="J86" s="142">
        <f t="shared" si="24"/>
        <v>-260166.18792126587</v>
      </c>
      <c r="K86" s="155">
        <f t="shared" si="25"/>
        <v>0</v>
      </c>
      <c r="L86" s="155">
        <f t="shared" si="26"/>
        <v>0</v>
      </c>
      <c r="M86" s="155">
        <f t="shared" si="29"/>
        <v>-260166.18792126587</v>
      </c>
      <c r="N86" s="175">
        <f t="shared" si="20"/>
        <v>-1.4151794212604139</v>
      </c>
      <c r="O86" s="180">
        <f t="shared" si="27"/>
        <v>867015.49844660377</v>
      </c>
      <c r="P86" s="51"/>
      <c r="Q86" s="21"/>
      <c r="R86" s="21"/>
      <c r="S86" s="21"/>
      <c r="T86" s="118">
        <f t="shared" si="21"/>
        <v>0</v>
      </c>
      <c r="U86" s="57">
        <f t="shared" si="22"/>
        <v>187863.61439464494</v>
      </c>
      <c r="V86" s="56">
        <f t="shared" si="23"/>
        <v>5.7030425652012688E-3</v>
      </c>
      <c r="W86" s="51">
        <f t="shared" si="30"/>
        <v>428.45162333949099</v>
      </c>
      <c r="X86" s="37">
        <f>C86*Allocations!$B$9</f>
        <v>187863.61439464494</v>
      </c>
      <c r="Y86" s="54">
        <f t="shared" si="28"/>
        <v>-259737.73629792637</v>
      </c>
      <c r="Z86" s="40"/>
      <c r="AA86" s="37"/>
      <c r="AB86" s="40"/>
      <c r="AC86" s="37"/>
      <c r="AD86" s="74"/>
      <c r="AE86" s="72"/>
      <c r="AF86" s="74"/>
      <c r="AG86" s="72"/>
      <c r="AH86" s="74"/>
      <c r="AI86" s="72"/>
      <c r="AJ86" s="18"/>
      <c r="AK86" s="37"/>
      <c r="AL86" s="87"/>
      <c r="AM86" s="88"/>
      <c r="AN86" s="18"/>
      <c r="AO86" s="37"/>
      <c r="AP86" s="74"/>
      <c r="AQ86" s="72"/>
      <c r="AR86" s="18"/>
      <c r="AS86" s="37"/>
      <c r="AT86" s="18"/>
      <c r="AU86" s="37"/>
      <c r="AV86" s="20"/>
      <c r="AW86" s="65"/>
      <c r="AX86" s="96"/>
    </row>
    <row r="87" spans="1:50" ht="12.5">
      <c r="A87" s="27" t="s">
        <v>84</v>
      </c>
      <c r="B87" s="17">
        <v>83</v>
      </c>
      <c r="C87" s="124">
        <v>1.0615165664269701E-2</v>
      </c>
      <c r="D87" s="159">
        <v>430149.70830222289</v>
      </c>
      <c r="E87" s="159">
        <v>369990.83827260137</v>
      </c>
      <c r="F87" s="131">
        <f>C87*Allocations!$B$6</f>
        <v>351542.44130361971</v>
      </c>
      <c r="G87" s="136">
        <f t="shared" si="18"/>
        <v>1151682.9878784439</v>
      </c>
      <c r="H87" s="88">
        <f t="shared" si="19"/>
        <v>383894.32929281465</v>
      </c>
      <c r="I87" s="141">
        <v>-144512.67179089301</v>
      </c>
      <c r="J87" s="142">
        <f t="shared" si="24"/>
        <v>207029.76951272669</v>
      </c>
      <c r="K87" s="155">
        <f t="shared" si="25"/>
        <v>1218234.1600000001</v>
      </c>
      <c r="L87" s="155">
        <f t="shared" si="26"/>
        <v>974587.33000000007</v>
      </c>
      <c r="M87" s="155">
        <f t="shared" si="29"/>
        <v>-767557.56048727338</v>
      </c>
      <c r="N87" s="175">
        <f t="shared" si="20"/>
        <v>-1.9993980163791905</v>
      </c>
      <c r="O87" s="180">
        <f t="shared" si="27"/>
        <v>1341697.087334445</v>
      </c>
      <c r="P87" s="50"/>
      <c r="Q87" s="129"/>
      <c r="R87" s="21"/>
      <c r="S87" s="21"/>
      <c r="T87" s="118">
        <f t="shared" si="21"/>
        <v>0</v>
      </c>
      <c r="U87" s="57">
        <f t="shared" si="22"/>
        <v>351542.44130361971</v>
      </c>
      <c r="V87" s="56">
        <f t="shared" si="23"/>
        <v>1.0671898934179457E-2</v>
      </c>
      <c r="W87" s="51">
        <f t="shared" si="30"/>
        <v>801.74615044326003</v>
      </c>
      <c r="X87" s="37">
        <f>C87*Allocations!$B$9</f>
        <v>351542.44130361971</v>
      </c>
      <c r="Y87" s="54">
        <f t="shared" si="28"/>
        <v>-766755.81433683005</v>
      </c>
      <c r="Z87" s="84">
        <v>528104.80000000005</v>
      </c>
      <c r="AA87" s="72">
        <v>422483.84</v>
      </c>
      <c r="AB87" s="84"/>
      <c r="AC87" s="72"/>
      <c r="AD87" s="74"/>
      <c r="AE87" s="72"/>
      <c r="AF87" s="75"/>
      <c r="AG87" s="36"/>
      <c r="AH87" s="74"/>
      <c r="AI87" s="72"/>
      <c r="AJ87" s="74">
        <v>690129.36</v>
      </c>
      <c r="AK87" s="72">
        <v>552103.49</v>
      </c>
      <c r="AL87" s="74"/>
      <c r="AM87" s="72"/>
      <c r="AN87" s="18"/>
      <c r="AO87" s="37"/>
      <c r="AP87" s="74"/>
      <c r="AQ87" s="72"/>
      <c r="AR87" s="18"/>
      <c r="AS87" s="37"/>
      <c r="AT87" s="18"/>
      <c r="AU87" s="37"/>
      <c r="AV87" s="93"/>
      <c r="AW87" s="92"/>
    </row>
    <row r="88" spans="1:50" ht="12.5">
      <c r="A88" s="27" t="s">
        <v>85</v>
      </c>
      <c r="B88" s="17">
        <v>84</v>
      </c>
      <c r="C88" s="124">
        <v>1.027950514319885E-2</v>
      </c>
      <c r="D88" s="159">
        <v>418386.82823403866</v>
      </c>
      <c r="E88" s="159">
        <v>368411.99939800362</v>
      </c>
      <c r="F88" s="131">
        <f>C88*Allocations!$B$6</f>
        <v>340426.3718273163</v>
      </c>
      <c r="G88" s="136">
        <f t="shared" si="18"/>
        <v>1127225.1994593586</v>
      </c>
      <c r="H88" s="88">
        <f t="shared" si="19"/>
        <v>375741.73315311951</v>
      </c>
      <c r="I88" s="141">
        <v>735898.87204304698</v>
      </c>
      <c r="J88" s="142">
        <f t="shared" si="24"/>
        <v>1076325.2438703633</v>
      </c>
      <c r="K88" s="155">
        <f t="shared" si="25"/>
        <v>2830957.13</v>
      </c>
      <c r="L88" s="155">
        <f t="shared" si="26"/>
        <v>1266355.7</v>
      </c>
      <c r="M88" s="155">
        <f t="shared" si="29"/>
        <v>-190030.45612963662</v>
      </c>
      <c r="N88" s="175">
        <f t="shared" si="20"/>
        <v>-0.50574753710468678</v>
      </c>
      <c r="O88" s="180">
        <f t="shared" si="27"/>
        <v>1852527.7748342613</v>
      </c>
      <c r="P88" s="51"/>
      <c r="Q88" s="21"/>
      <c r="R88" s="21"/>
      <c r="S88" s="21"/>
      <c r="T88" s="118">
        <f t="shared" si="21"/>
        <v>0</v>
      </c>
      <c r="U88" s="57">
        <f t="shared" si="22"/>
        <v>340426.3718273163</v>
      </c>
      <c r="V88" s="56">
        <f t="shared" si="23"/>
        <v>1.0334444459105224E-2</v>
      </c>
      <c r="W88" s="51">
        <f t="shared" si="30"/>
        <v>776.39425871252934</v>
      </c>
      <c r="X88" s="37">
        <f>C88*Allocations!$B$9</f>
        <v>340426.3718273163</v>
      </c>
      <c r="Y88" s="54">
        <f t="shared" si="28"/>
        <v>-189254.06187092414</v>
      </c>
      <c r="Z88" s="40"/>
      <c r="AA88" s="37"/>
      <c r="AB88" s="84"/>
      <c r="AC88" s="72"/>
      <c r="AD88" s="74">
        <v>-403639.92</v>
      </c>
      <c r="AE88" s="72">
        <v>-321311.94</v>
      </c>
      <c r="AF88" s="75"/>
      <c r="AG88" s="36"/>
      <c r="AH88" s="80">
        <v>3234597.05</v>
      </c>
      <c r="AI88" s="81">
        <v>1587667.64</v>
      </c>
      <c r="AJ88" s="87"/>
      <c r="AK88" s="88"/>
      <c r="AL88" s="74"/>
      <c r="AM88" s="72"/>
      <c r="AN88" s="18"/>
      <c r="AO88" s="37"/>
      <c r="AP88" s="74"/>
      <c r="AQ88" s="72"/>
      <c r="AR88" s="18"/>
      <c r="AS88" s="37"/>
      <c r="AT88" s="18"/>
      <c r="AU88" s="37"/>
      <c r="AV88" s="20"/>
      <c r="AW88" s="65"/>
    </row>
    <row r="89" spans="1:50" ht="12.5">
      <c r="A89" s="22" t="s">
        <v>86</v>
      </c>
      <c r="B89" s="23">
        <v>85</v>
      </c>
      <c r="C89" s="125">
        <v>1.0559496336510876E-2</v>
      </c>
      <c r="D89" s="160">
        <v>333242.18833117158</v>
      </c>
      <c r="E89" s="160">
        <v>338215.47120200557</v>
      </c>
      <c r="F89" s="132">
        <f>C89*Allocations!$B$6</f>
        <v>349698.8401762307</v>
      </c>
      <c r="G89" s="137">
        <f t="shared" si="18"/>
        <v>1021156.4997094078</v>
      </c>
      <c r="H89" s="111">
        <f t="shared" si="19"/>
        <v>340385.49990313593</v>
      </c>
      <c r="I89" s="143">
        <v>-485347.51547898882</v>
      </c>
      <c r="J89" s="144">
        <f t="shared" si="24"/>
        <v>-135648.67530275811</v>
      </c>
      <c r="K89" s="156">
        <f t="shared" si="25"/>
        <v>445847.11</v>
      </c>
      <c r="L89" s="156">
        <f t="shared" si="26"/>
        <v>356677.68</v>
      </c>
      <c r="M89" s="156">
        <f t="shared" si="29"/>
        <v>-492326.35530275811</v>
      </c>
      <c r="N89" s="176">
        <f t="shared" si="20"/>
        <v>-1.4463787542150304</v>
      </c>
      <c r="O89" s="181">
        <f t="shared" si="27"/>
        <v>1605866.6857546261</v>
      </c>
      <c r="P89" s="52"/>
      <c r="Q89" s="25"/>
      <c r="R89" s="25"/>
      <c r="S89" s="25"/>
      <c r="T89" s="119">
        <f t="shared" si="21"/>
        <v>0</v>
      </c>
      <c r="U89" s="58">
        <f t="shared" si="22"/>
        <v>349698.8401762307</v>
      </c>
      <c r="V89" s="59">
        <f t="shared" si="23"/>
        <v>1.0615932078987022E-2</v>
      </c>
      <c r="W89" s="52">
        <f t="shared" si="30"/>
        <v>797.54153690824614</v>
      </c>
      <c r="X89" s="38">
        <f>C89*Allocations!$B$9</f>
        <v>349698.8401762307</v>
      </c>
      <c r="Y89" s="83">
        <f t="shared" si="28"/>
        <v>-491528.81376584986</v>
      </c>
      <c r="Z89" s="41"/>
      <c r="AA89" s="38"/>
      <c r="AB89" s="85"/>
      <c r="AC89" s="73"/>
      <c r="AD89" s="79"/>
      <c r="AE89" s="73"/>
      <c r="AF89" s="79"/>
      <c r="AG89" s="73"/>
      <c r="AH89" s="79">
        <v>445847.11</v>
      </c>
      <c r="AI89" s="73">
        <v>356677.68</v>
      </c>
      <c r="AJ89" s="26"/>
      <c r="AK89" s="38"/>
      <c r="AL89" s="79"/>
      <c r="AM89" s="73"/>
      <c r="AN89" s="26"/>
      <c r="AO89" s="38"/>
      <c r="AP89" s="79"/>
      <c r="AQ89" s="73"/>
      <c r="AR89" s="26"/>
      <c r="AS89" s="38"/>
      <c r="AT89" s="26"/>
      <c r="AU89" s="38"/>
      <c r="AV89" s="24"/>
      <c r="AW89" s="66"/>
    </row>
    <row r="90" spans="1:50" ht="12.5">
      <c r="A90" s="27" t="s">
        <v>87</v>
      </c>
      <c r="B90" s="17">
        <v>86</v>
      </c>
      <c r="C90" s="124">
        <v>2.2952466303401153E-2</v>
      </c>
      <c r="D90" s="159">
        <v>613291.79379986215</v>
      </c>
      <c r="E90" s="159">
        <v>710669.50184805633</v>
      </c>
      <c r="F90" s="131">
        <f>C90*Allocations!$B$6</f>
        <v>760116.826569736</v>
      </c>
      <c r="G90" s="136">
        <f t="shared" si="18"/>
        <v>2084078.1222176545</v>
      </c>
      <c r="H90" s="88">
        <f t="shared" si="19"/>
        <v>694692.70740588487</v>
      </c>
      <c r="I90" s="141">
        <v>595881.59062994772</v>
      </c>
      <c r="J90" s="142">
        <f t="shared" si="24"/>
        <v>1355998.4171996838</v>
      </c>
      <c r="K90" s="155">
        <f>Z90+AB90+AD90+AF90+AH90+AJ90+AL90+AN90+AP90+AR90+AT90+AV90</f>
        <v>2834822.03</v>
      </c>
      <c r="L90" s="155">
        <f>AA90+AC90+AE90+AG90+AI90+AK90+AM90+AO90+AQ90+AS90+AU90+AW90</f>
        <v>1068333.5</v>
      </c>
      <c r="M90" s="155">
        <f t="shared" si="29"/>
        <v>287664.91719968384</v>
      </c>
      <c r="N90" s="175">
        <f t="shared" si="20"/>
        <v>0.41408944434421879</v>
      </c>
      <c r="O90" s="180">
        <f t="shared" si="27"/>
        <v>4848365.8766181003</v>
      </c>
      <c r="P90" s="51"/>
      <c r="Q90" s="21"/>
      <c r="R90" s="21"/>
      <c r="S90" s="21"/>
      <c r="T90" s="118">
        <f t="shared" si="21"/>
        <v>0</v>
      </c>
      <c r="U90" s="57">
        <f t="shared" si="22"/>
        <v>760116.826569736</v>
      </c>
      <c r="V90" s="56">
        <f t="shared" si="23"/>
        <v>2.3075136877471276E-2</v>
      </c>
      <c r="W90" s="51">
        <f t="shared" si="30"/>
        <v>1733.562346923253</v>
      </c>
      <c r="X90" s="37">
        <f>C90*Allocations!$B$9</f>
        <v>760116.826569736</v>
      </c>
      <c r="Y90" s="54">
        <f t="shared" si="28"/>
        <v>289398.47954660701</v>
      </c>
      <c r="Z90" s="40"/>
      <c r="AA90" s="37"/>
      <c r="AB90" s="40"/>
      <c r="AC90" s="37"/>
      <c r="AD90" s="74"/>
      <c r="AE90" s="72"/>
      <c r="AF90" s="75">
        <v>134700</v>
      </c>
      <c r="AG90" s="36">
        <v>107760</v>
      </c>
      <c r="AH90" s="74"/>
      <c r="AI90" s="72"/>
      <c r="AJ90" s="74"/>
      <c r="AK90" s="72"/>
      <c r="AL90" s="74"/>
      <c r="AM90" s="72"/>
      <c r="AN90" s="74">
        <v>699725.15</v>
      </c>
      <c r="AO90" s="72">
        <v>559780.12</v>
      </c>
      <c r="AP90" s="74">
        <v>2000396.88</v>
      </c>
      <c r="AQ90" s="72">
        <v>400793.38</v>
      </c>
      <c r="AR90" s="18"/>
      <c r="AS90" s="37"/>
      <c r="AT90" s="18"/>
      <c r="AU90" s="37"/>
      <c r="AV90" s="93"/>
      <c r="AW90" s="92"/>
    </row>
    <row r="91" spans="1:50" ht="12.5">
      <c r="A91" s="27" t="s">
        <v>88</v>
      </c>
      <c r="B91" s="17">
        <v>87</v>
      </c>
      <c r="C91" s="124">
        <v>8.8323604957111067E-3</v>
      </c>
      <c r="D91" s="159">
        <v>301856.39836124133</v>
      </c>
      <c r="E91" s="159">
        <v>287798.41341079521</v>
      </c>
      <c r="F91" s="131">
        <f>C91*Allocations!$B$6</f>
        <v>292501.28253646474</v>
      </c>
      <c r="G91" s="136">
        <f t="shared" si="18"/>
        <v>882156.09430850134</v>
      </c>
      <c r="H91" s="88">
        <f t="shared" si="19"/>
        <v>294052.03143616713</v>
      </c>
      <c r="I91" s="141">
        <v>389839.41371580231</v>
      </c>
      <c r="J91" s="142">
        <f t="shared" si="24"/>
        <v>682340.69625226711</v>
      </c>
      <c r="K91" s="155">
        <f t="shared" si="25"/>
        <v>1207861.6299999999</v>
      </c>
      <c r="L91" s="155">
        <f t="shared" si="26"/>
        <v>966289.28</v>
      </c>
      <c r="M91" s="155">
        <f t="shared" si="29"/>
        <v>-283948.58374773292</v>
      </c>
      <c r="N91" s="175">
        <f t="shared" si="20"/>
        <v>-0.96564061251647071</v>
      </c>
      <c r="O91" s="180">
        <f t="shared" si="27"/>
        <v>1471059.1114710555</v>
      </c>
      <c r="P91" s="50"/>
      <c r="Q91" s="129"/>
      <c r="R91" s="21"/>
      <c r="S91" s="21"/>
      <c r="T91" s="118">
        <f t="shared" si="21"/>
        <v>0</v>
      </c>
      <c r="U91" s="57">
        <f t="shared" si="22"/>
        <v>292501.28253646474</v>
      </c>
      <c r="V91" s="56">
        <f t="shared" si="23"/>
        <v>8.8795654765650642E-3</v>
      </c>
      <c r="W91" s="51">
        <f t="shared" si="30"/>
        <v>667.09378362308212</v>
      </c>
      <c r="X91" s="37">
        <f>C91*Allocations!$B$9</f>
        <v>292501.28253646474</v>
      </c>
      <c r="Y91" s="54">
        <f t="shared" si="28"/>
        <v>-283281.48996410985</v>
      </c>
      <c r="Z91" s="97">
        <v>694640.97</v>
      </c>
      <c r="AA91" s="88">
        <v>555712.78</v>
      </c>
      <c r="AB91" s="84">
        <v>513220.66</v>
      </c>
      <c r="AC91" s="72">
        <v>410576.5</v>
      </c>
      <c r="AD91" s="74"/>
      <c r="AE91" s="72"/>
      <c r="AF91" s="75"/>
      <c r="AG91" s="36"/>
      <c r="AH91" s="74"/>
      <c r="AI91" s="72"/>
      <c r="AJ91" s="18"/>
      <c r="AK91" s="37"/>
      <c r="AL91" s="74"/>
      <c r="AM91" s="72"/>
      <c r="AN91" s="18"/>
      <c r="AO91" s="37"/>
      <c r="AP91" s="74"/>
      <c r="AQ91" s="72"/>
      <c r="AR91" s="18"/>
      <c r="AS91" s="37"/>
      <c r="AT91" s="18"/>
      <c r="AU91" s="37"/>
      <c r="AV91" s="20"/>
      <c r="AW91" s="65"/>
      <c r="AX91" s="96"/>
    </row>
    <row r="92" spans="1:50" ht="12.5">
      <c r="A92" s="27" t="s">
        <v>89</v>
      </c>
      <c r="B92" s="17">
        <v>88</v>
      </c>
      <c r="C92" s="124">
        <v>5.3230786903423113E-3</v>
      </c>
      <c r="D92" s="159">
        <v>156592.498317113</v>
      </c>
      <c r="E92" s="159">
        <v>150205.54613251606</v>
      </c>
      <c r="F92" s="131">
        <f>C92*Allocations!$B$6</f>
        <v>176284.39698806632</v>
      </c>
      <c r="G92" s="136">
        <f t="shared" si="18"/>
        <v>483082.44143769535</v>
      </c>
      <c r="H92" s="88">
        <f t="shared" si="19"/>
        <v>161027.48047923177</v>
      </c>
      <c r="I92" s="141">
        <v>164124.56192348502</v>
      </c>
      <c r="J92" s="142">
        <f t="shared" si="24"/>
        <v>340408.95891155134</v>
      </c>
      <c r="K92" s="155">
        <f t="shared" si="25"/>
        <v>577720.06999999995</v>
      </c>
      <c r="L92" s="155">
        <f t="shared" si="26"/>
        <v>462176.06</v>
      </c>
      <c r="M92" s="155">
        <f t="shared" si="29"/>
        <v>-121767.10108844866</v>
      </c>
      <c r="N92" s="175">
        <f t="shared" si="20"/>
        <v>-0.75618832714800721</v>
      </c>
      <c r="O92" s="180">
        <f t="shared" si="27"/>
        <v>935939.28083994915</v>
      </c>
      <c r="P92" s="51"/>
      <c r="Q92" s="21"/>
      <c r="R92" s="21"/>
      <c r="S92" s="21"/>
      <c r="T92" s="118">
        <f t="shared" si="21"/>
        <v>0</v>
      </c>
      <c r="U92" s="57">
        <f t="shared" si="22"/>
        <v>176284.39698806632</v>
      </c>
      <c r="V92" s="56">
        <f t="shared" si="23"/>
        <v>5.3515281436661124E-3</v>
      </c>
      <c r="W92" s="51">
        <f t="shared" si="30"/>
        <v>402.04345211998248</v>
      </c>
      <c r="X92" s="37">
        <f>C92*Allocations!$B$9</f>
        <v>176284.39698806632</v>
      </c>
      <c r="Y92" s="54">
        <f t="shared" si="28"/>
        <v>-121365.05763632868</v>
      </c>
      <c r="Z92" s="42"/>
      <c r="AA92" s="45"/>
      <c r="AB92" s="40"/>
      <c r="AC92" s="37"/>
      <c r="AD92" s="74"/>
      <c r="AE92" s="72"/>
      <c r="AF92" s="75"/>
      <c r="AG92" s="36"/>
      <c r="AH92" s="74"/>
      <c r="AI92" s="72"/>
      <c r="AJ92" s="18"/>
      <c r="AK92" s="37"/>
      <c r="AL92" s="74"/>
      <c r="AM92" s="72"/>
      <c r="AN92" s="74"/>
      <c r="AO92" s="72"/>
      <c r="AP92" s="74">
        <v>577720.06999999995</v>
      </c>
      <c r="AQ92" s="72">
        <v>462176.06</v>
      </c>
      <c r="AR92" s="18"/>
      <c r="AS92" s="37"/>
      <c r="AT92" s="18"/>
      <c r="AU92" s="37"/>
      <c r="AV92" s="20"/>
      <c r="AW92" s="65"/>
    </row>
    <row r="93" spans="1:50" ht="12.5">
      <c r="A93" s="27" t="s">
        <v>90</v>
      </c>
      <c r="B93" s="17">
        <v>89</v>
      </c>
      <c r="C93" s="124">
        <v>1.0460179010579433E-2</v>
      </c>
      <c r="D93" s="159">
        <v>453930.67649041174</v>
      </c>
      <c r="E93" s="159">
        <v>449208.17307085881</v>
      </c>
      <c r="F93" s="131">
        <f>C93*Allocations!$B$6</f>
        <v>346409.74829335907</v>
      </c>
      <c r="G93" s="136">
        <f t="shared" si="18"/>
        <v>1249548.5978546296</v>
      </c>
      <c r="H93" s="88">
        <f t="shared" si="19"/>
        <v>416516.19928487652</v>
      </c>
      <c r="I93" s="141">
        <v>1351410.3914825812</v>
      </c>
      <c r="J93" s="142">
        <f t="shared" si="24"/>
        <v>1697820.1397759402</v>
      </c>
      <c r="K93" s="155">
        <f t="shared" si="25"/>
        <v>0</v>
      </c>
      <c r="L93" s="155">
        <f t="shared" si="26"/>
        <v>0</v>
      </c>
      <c r="M93" s="155">
        <f t="shared" si="29"/>
        <v>1697820.1397759402</v>
      </c>
      <c r="N93" s="175">
        <f t="shared" si="20"/>
        <v>4.0762403543750647</v>
      </c>
      <c r="O93" s="180">
        <f t="shared" si="27"/>
        <v>3776278.6295360946</v>
      </c>
      <c r="P93" s="51"/>
      <c r="Q93" s="21"/>
      <c r="R93" s="21">
        <v>251131.14</v>
      </c>
      <c r="S93" s="21">
        <f>R93*0.8</f>
        <v>200904.91200000001</v>
      </c>
      <c r="T93" s="165">
        <v>0</v>
      </c>
      <c r="U93" s="57">
        <f t="shared" si="22"/>
        <v>346409.74829335907</v>
      </c>
      <c r="V93" s="56">
        <f t="shared" si="23"/>
        <v>1.0516083946769835E-2</v>
      </c>
      <c r="W93" s="51">
        <f t="shared" si="30"/>
        <v>790.04026125638541</v>
      </c>
      <c r="X93" s="37">
        <f>C93*Allocations!$B$9</f>
        <v>346409.74829335907</v>
      </c>
      <c r="Y93" s="54">
        <f t="shared" si="28"/>
        <v>1698610.1800371965</v>
      </c>
      <c r="Z93" s="40"/>
      <c r="AA93" s="37"/>
      <c r="AB93" s="40"/>
      <c r="AC93" s="37"/>
      <c r="AD93" s="74"/>
      <c r="AE93" s="72"/>
      <c r="AF93" s="74"/>
      <c r="AG93" s="72"/>
      <c r="AH93" s="74"/>
      <c r="AI93" s="72"/>
      <c r="AJ93" s="18"/>
      <c r="AK93" s="37"/>
      <c r="AL93" s="74"/>
      <c r="AM93" s="72"/>
      <c r="AN93" s="74"/>
      <c r="AO93" s="72"/>
      <c r="AP93" s="74"/>
      <c r="AQ93" s="72"/>
      <c r="AR93" s="18"/>
      <c r="AS93" s="37"/>
      <c r="AT93" s="74"/>
      <c r="AU93" s="72"/>
      <c r="AV93" s="20"/>
      <c r="AW93" s="65"/>
      <c r="AX93" s="166" t="s">
        <v>137</v>
      </c>
    </row>
    <row r="94" spans="1:50" ht="12.5">
      <c r="A94" s="22" t="s">
        <v>91</v>
      </c>
      <c r="B94" s="23">
        <v>90</v>
      </c>
      <c r="C94" s="125">
        <v>1.2827167654741014E-2</v>
      </c>
      <c r="D94" s="160">
        <v>424283.51463384245</v>
      </c>
      <c r="E94" s="160">
        <v>414910.62141098786</v>
      </c>
      <c r="F94" s="132">
        <f>C94*Allocations!$B$6</f>
        <v>424797.31122205814</v>
      </c>
      <c r="G94" s="137">
        <f t="shared" si="18"/>
        <v>1263991.4472668883</v>
      </c>
      <c r="H94" s="111">
        <f t="shared" si="19"/>
        <v>421330.48242229613</v>
      </c>
      <c r="I94" s="143">
        <v>838641.49246412492</v>
      </c>
      <c r="J94" s="144">
        <f t="shared" si="24"/>
        <v>1263438.8036861829</v>
      </c>
      <c r="K94" s="156">
        <f t="shared" si="25"/>
        <v>0</v>
      </c>
      <c r="L94" s="156">
        <f t="shared" si="26"/>
        <v>0</v>
      </c>
      <c r="M94" s="156">
        <f t="shared" si="29"/>
        <v>1263438.8036861829</v>
      </c>
      <c r="N94" s="176">
        <f t="shared" si="20"/>
        <v>2.9986883370566302</v>
      </c>
      <c r="O94" s="181">
        <f t="shared" si="27"/>
        <v>3812222.6710185315</v>
      </c>
      <c r="P94" s="52"/>
      <c r="Q94" s="25"/>
      <c r="R94" s="25"/>
      <c r="S94" s="25"/>
      <c r="T94" s="119">
        <f t="shared" si="21"/>
        <v>0</v>
      </c>
      <c r="U94" s="58">
        <f t="shared" si="22"/>
        <v>424797.31122205814</v>
      </c>
      <c r="V94" s="59">
        <f t="shared" si="23"/>
        <v>1.289572307702553E-2</v>
      </c>
      <c r="W94" s="52">
        <f t="shared" si="30"/>
        <v>968.81505324923546</v>
      </c>
      <c r="X94" s="38">
        <f>C94*Allocations!$B$9</f>
        <v>424797.31122205814</v>
      </c>
      <c r="Y94" s="83">
        <f t="shared" si="28"/>
        <v>1264407.6187394322</v>
      </c>
      <c r="Z94" s="41"/>
      <c r="AA94" s="38"/>
      <c r="AB94" s="85"/>
      <c r="AC94" s="73"/>
      <c r="AD94" s="79"/>
      <c r="AE94" s="73"/>
      <c r="AF94" s="76"/>
      <c r="AG94" s="77"/>
      <c r="AH94" s="79"/>
      <c r="AI94" s="73"/>
      <c r="AJ94" s="26"/>
      <c r="AK94" s="38"/>
      <c r="AL94" s="79"/>
      <c r="AM94" s="73"/>
      <c r="AN94" s="26"/>
      <c r="AO94" s="38"/>
      <c r="AP94" s="79"/>
      <c r="AQ94" s="73"/>
      <c r="AR94" s="26"/>
      <c r="AS94" s="38"/>
      <c r="AT94" s="26"/>
      <c r="AU94" s="38"/>
      <c r="AV94" s="24"/>
      <c r="AW94" s="66"/>
    </row>
    <row r="95" spans="1:50" ht="12.5">
      <c r="A95" s="27" t="s">
        <v>92</v>
      </c>
      <c r="B95" s="17">
        <v>91</v>
      </c>
      <c r="C95" s="124">
        <v>1.7007648578246007E-2</v>
      </c>
      <c r="D95" s="159">
        <v>601964.26046083169</v>
      </c>
      <c r="E95" s="159">
        <v>571987.86778928747</v>
      </c>
      <c r="F95" s="131">
        <f>C95*Allocations!$B$6</f>
        <v>563242.29796577303</v>
      </c>
      <c r="G95" s="136">
        <f t="shared" si="18"/>
        <v>1737194.4262158922</v>
      </c>
      <c r="H95" s="88">
        <f t="shared" si="19"/>
        <v>579064.80873863073</v>
      </c>
      <c r="I95" s="141">
        <v>965677.20560677163</v>
      </c>
      <c r="J95" s="142">
        <f t="shared" si="24"/>
        <v>1528919.5035725445</v>
      </c>
      <c r="K95" s="155">
        <f t="shared" si="25"/>
        <v>2269081.75</v>
      </c>
      <c r="L95" s="155">
        <f t="shared" si="26"/>
        <v>1815265.4</v>
      </c>
      <c r="M95" s="155">
        <f t="shared" si="29"/>
        <v>-286345.89642745536</v>
      </c>
      <c r="N95" s="175">
        <f t="shared" si="20"/>
        <v>-0.49449714799833694</v>
      </c>
      <c r="O95" s="180">
        <f t="shared" si="27"/>
        <v>3093107.8913671831</v>
      </c>
      <c r="P95" s="50"/>
      <c r="Q95" s="129"/>
      <c r="R95" s="21"/>
      <c r="S95" s="21"/>
      <c r="T95" s="118">
        <f t="shared" si="21"/>
        <v>0</v>
      </c>
      <c r="U95" s="57">
        <f t="shared" si="22"/>
        <v>563242.29796577303</v>
      </c>
      <c r="V95" s="56">
        <f t="shared" si="23"/>
        <v>1.7098546784438656E-2</v>
      </c>
      <c r="W95" s="51">
        <f t="shared" si="30"/>
        <v>1284.5599594925054</v>
      </c>
      <c r="X95" s="37">
        <f>C95*Allocations!$B$9</f>
        <v>563242.29796577303</v>
      </c>
      <c r="Y95" s="54">
        <f t="shared" si="28"/>
        <v>-285061.33646796271</v>
      </c>
      <c r="Z95" s="84">
        <v>417585.35</v>
      </c>
      <c r="AA95" s="72">
        <v>334068.28000000003</v>
      </c>
      <c r="AB95" s="84"/>
      <c r="AC95" s="72"/>
      <c r="AD95" s="74">
        <v>286159.21999999997</v>
      </c>
      <c r="AE95" s="72">
        <v>228927.38</v>
      </c>
      <c r="AF95" s="75"/>
      <c r="AG95" s="36"/>
      <c r="AH95" s="74"/>
      <c r="AI95" s="72"/>
      <c r="AJ95" s="74">
        <v>432445.05</v>
      </c>
      <c r="AK95" s="72">
        <v>345956.04</v>
      </c>
      <c r="AL95" s="74"/>
      <c r="AM95" s="72"/>
      <c r="AN95" s="18"/>
      <c r="AO95" s="37"/>
      <c r="AP95" s="74"/>
      <c r="AQ95" s="72"/>
      <c r="AR95" s="18"/>
      <c r="AS95" s="37"/>
      <c r="AT95" s="74"/>
      <c r="AU95" s="72"/>
      <c r="AV95" s="91">
        <v>1132892.1299999999</v>
      </c>
      <c r="AW95" s="92">
        <v>906313.7</v>
      </c>
    </row>
    <row r="96" spans="1:50" ht="12.5">
      <c r="A96" s="28" t="s">
        <v>93</v>
      </c>
      <c r="B96" s="17">
        <v>92</v>
      </c>
      <c r="C96" s="124">
        <v>1.0846965466432235E-2</v>
      </c>
      <c r="D96" s="159">
        <v>361851.10667786241</v>
      </c>
      <c r="E96" s="159">
        <v>357464.57157449139</v>
      </c>
      <c r="F96" s="131">
        <f>C96*Allocations!$B$6</f>
        <v>359218.95535183634</v>
      </c>
      <c r="G96" s="136">
        <f t="shared" si="18"/>
        <v>1078534.6336041901</v>
      </c>
      <c r="H96" s="88">
        <f t="shared" si="19"/>
        <v>359511.54453473003</v>
      </c>
      <c r="I96" s="141">
        <v>200199.80013436856</v>
      </c>
      <c r="J96" s="142">
        <f t="shared" si="24"/>
        <v>559418.75548620487</v>
      </c>
      <c r="K96" s="155">
        <f t="shared" si="25"/>
        <v>937673.79</v>
      </c>
      <c r="L96" s="155">
        <f t="shared" si="26"/>
        <v>750139</v>
      </c>
      <c r="M96" s="155">
        <f t="shared" si="29"/>
        <v>-190720.24451379513</v>
      </c>
      <c r="N96" s="175">
        <f t="shared" si="20"/>
        <v>-0.53049824800652801</v>
      </c>
      <c r="O96" s="180">
        <f t="shared" si="27"/>
        <v>1964593.4875972229</v>
      </c>
      <c r="P96" s="51"/>
      <c r="Q96" s="21"/>
      <c r="R96" s="21"/>
      <c r="S96" s="21"/>
      <c r="T96" s="118">
        <f t="shared" si="21"/>
        <v>0</v>
      </c>
      <c r="U96" s="57">
        <f t="shared" si="22"/>
        <v>359218.95535183634</v>
      </c>
      <c r="V96" s="56">
        <f t="shared" si="23"/>
        <v>1.0904937601674576E-2</v>
      </c>
      <c r="W96" s="51">
        <f t="shared" si="30"/>
        <v>819.25361146036573</v>
      </c>
      <c r="X96" s="37">
        <f>C96*Allocations!$B$9</f>
        <v>359218.95535183634</v>
      </c>
      <c r="Y96" s="54">
        <f t="shared" si="28"/>
        <v>-189900.99090233474</v>
      </c>
      <c r="Z96" s="40"/>
      <c r="AA96" s="37"/>
      <c r="AB96" s="84">
        <v>937673.79</v>
      </c>
      <c r="AC96" s="72">
        <v>750139</v>
      </c>
      <c r="AD96" s="74"/>
      <c r="AE96" s="72"/>
      <c r="AF96" s="74"/>
      <c r="AG96" s="72"/>
      <c r="AH96" s="74"/>
      <c r="AI96" s="72"/>
      <c r="AJ96" s="18"/>
      <c r="AK96" s="37"/>
      <c r="AL96" s="74"/>
      <c r="AM96" s="72"/>
      <c r="AN96" s="18"/>
      <c r="AO96" s="37"/>
      <c r="AP96" s="74"/>
      <c r="AQ96" s="72"/>
      <c r="AR96" s="18"/>
      <c r="AS96" s="37"/>
      <c r="AT96" s="18"/>
      <c r="AU96" s="37"/>
      <c r="AV96" s="20"/>
      <c r="AW96" s="65"/>
    </row>
    <row r="97" spans="1:50" ht="12.5">
      <c r="A97" s="28" t="s">
        <v>94</v>
      </c>
      <c r="B97" s="17">
        <v>93</v>
      </c>
      <c r="C97" s="124">
        <v>8.5496529054207328E-3</v>
      </c>
      <c r="D97" s="159">
        <v>273640.63860504708</v>
      </c>
      <c r="E97" s="159">
        <v>273490.57510049443</v>
      </c>
      <c r="F97" s="131">
        <f>C97*Allocations!$B$6</f>
        <v>283138.85526881838</v>
      </c>
      <c r="G97" s="136">
        <f t="shared" si="18"/>
        <v>830270.06897435989</v>
      </c>
      <c r="H97" s="88">
        <f t="shared" si="19"/>
        <v>276756.68965811998</v>
      </c>
      <c r="I97" s="141">
        <v>446223.58926944761</v>
      </c>
      <c r="J97" s="142">
        <f t="shared" si="24"/>
        <v>729362.44453826593</v>
      </c>
      <c r="K97" s="155">
        <f t="shared" si="25"/>
        <v>921596</v>
      </c>
      <c r="L97" s="155">
        <f t="shared" si="26"/>
        <v>733676.76</v>
      </c>
      <c r="M97" s="155">
        <f t="shared" si="29"/>
        <v>-4314.315461734077</v>
      </c>
      <c r="N97" s="175">
        <f t="shared" si="20"/>
        <v>-1.5588838943924316E-2</v>
      </c>
      <c r="O97" s="180">
        <f t="shared" si="27"/>
        <v>1694518.8161511763</v>
      </c>
      <c r="P97" s="51"/>
      <c r="Q97" s="21"/>
      <c r="R97" s="21"/>
      <c r="S97" s="21"/>
      <c r="T97" s="118">
        <f t="shared" si="21"/>
        <v>0</v>
      </c>
      <c r="U97" s="57">
        <f t="shared" si="22"/>
        <v>283138.85526881838</v>
      </c>
      <c r="V97" s="56">
        <f t="shared" si="23"/>
        <v>8.5953469417889648E-3</v>
      </c>
      <c r="W97" s="51">
        <f t="shared" si="30"/>
        <v>645.74134039373837</v>
      </c>
      <c r="X97" s="37">
        <f>C97*Allocations!$B$9</f>
        <v>283138.85526881838</v>
      </c>
      <c r="Y97" s="54">
        <f t="shared" si="28"/>
        <v>-3668.5741213402944</v>
      </c>
      <c r="Z97" s="40"/>
      <c r="AA97" s="37"/>
      <c r="AB97" s="84">
        <v>544632.4</v>
      </c>
      <c r="AC97" s="72">
        <v>434105.9</v>
      </c>
      <c r="AD97" s="74"/>
      <c r="AE97" s="72"/>
      <c r="AF97" s="74">
        <v>376963.6</v>
      </c>
      <c r="AG97" s="72">
        <v>299570.86</v>
      </c>
      <c r="AH97" s="87"/>
      <c r="AI97" s="88"/>
      <c r="AJ97" s="74"/>
      <c r="AK97" s="72"/>
      <c r="AL97" s="74"/>
      <c r="AM97" s="72"/>
      <c r="AN97" s="18"/>
      <c r="AO97" s="37"/>
      <c r="AP97" s="74"/>
      <c r="AQ97" s="72"/>
      <c r="AR97" s="18"/>
      <c r="AS97" s="37"/>
      <c r="AT97" s="18"/>
      <c r="AU97" s="37"/>
      <c r="AV97" s="20"/>
      <c r="AW97" s="65"/>
      <c r="AX97" s="96"/>
    </row>
    <row r="98" spans="1:50" ht="12.5">
      <c r="A98" s="28" t="s">
        <v>95</v>
      </c>
      <c r="B98" s="17">
        <v>94</v>
      </c>
      <c r="C98" s="124">
        <v>9.2906742803881889E-3</v>
      </c>
      <c r="D98" s="159">
        <v>304316.70674764912</v>
      </c>
      <c r="E98" s="159">
        <v>291402.17278259888</v>
      </c>
      <c r="F98" s="131">
        <f>C98*Allocations!$B$6</f>
        <v>307679.26014361565</v>
      </c>
      <c r="G98" s="136">
        <f t="shared" si="18"/>
        <v>903398.13967386365</v>
      </c>
      <c r="H98" s="88">
        <f t="shared" si="19"/>
        <v>301132.7132246212</v>
      </c>
      <c r="I98" s="141">
        <v>-637374.91312992258</v>
      </c>
      <c r="J98" s="142">
        <f t="shared" si="24"/>
        <v>-329695.65298630693</v>
      </c>
      <c r="K98" s="155">
        <f t="shared" si="25"/>
        <v>0</v>
      </c>
      <c r="L98" s="155">
        <f t="shared" si="26"/>
        <v>0</v>
      </c>
      <c r="M98" s="155">
        <f t="shared" si="29"/>
        <v>-329695.65298630693</v>
      </c>
      <c r="N98" s="175">
        <f t="shared" si="20"/>
        <v>-1.0948516667479433</v>
      </c>
      <c r="O98" s="180">
        <f t="shared" si="27"/>
        <v>1516379.907875387</v>
      </c>
      <c r="P98" s="51"/>
      <c r="Q98" s="21"/>
      <c r="R98" s="21"/>
      <c r="S98" s="21"/>
      <c r="T98" s="118">
        <f t="shared" si="21"/>
        <v>0</v>
      </c>
      <c r="U98" s="57">
        <f t="shared" si="22"/>
        <v>307679.26014361565</v>
      </c>
      <c r="V98" s="56">
        <f t="shared" si="23"/>
        <v>9.3403287415867592E-3</v>
      </c>
      <c r="W98" s="51">
        <f t="shared" si="30"/>
        <v>701.70947631987724</v>
      </c>
      <c r="X98" s="37">
        <f>C98*Allocations!$B$9</f>
        <v>307679.26014361565</v>
      </c>
      <c r="Y98" s="54">
        <f t="shared" si="28"/>
        <v>-328993.94350998709</v>
      </c>
      <c r="Z98" s="40"/>
      <c r="AA98" s="37"/>
      <c r="AB98" s="40"/>
      <c r="AC98" s="37"/>
      <c r="AD98" s="74"/>
      <c r="AE98" s="72"/>
      <c r="AF98" s="75"/>
      <c r="AG98" s="36"/>
      <c r="AH98" s="74"/>
      <c r="AI98" s="72"/>
      <c r="AJ98" s="18"/>
      <c r="AK98" s="37"/>
      <c r="AL98" s="74"/>
      <c r="AM98" s="72"/>
      <c r="AN98" s="18"/>
      <c r="AO98" s="37"/>
      <c r="AP98" s="74"/>
      <c r="AQ98" s="72"/>
      <c r="AR98" s="74"/>
      <c r="AS98" s="72"/>
      <c r="AT98" s="74"/>
      <c r="AU98" s="72"/>
      <c r="AV98" s="20"/>
      <c r="AW98" s="65"/>
    </row>
    <row r="99" spans="1:50" ht="12.5">
      <c r="A99" s="29" t="s">
        <v>96</v>
      </c>
      <c r="B99" s="23">
        <v>95</v>
      </c>
      <c r="C99" s="125">
        <v>5.1625677062770324E-3</v>
      </c>
      <c r="D99" s="160">
        <v>161507.07585760497</v>
      </c>
      <c r="E99" s="160">
        <v>174110.60651218428</v>
      </c>
      <c r="F99" s="132">
        <f>C99*Allocations!$B$6</f>
        <v>170968.75472877649</v>
      </c>
      <c r="G99" s="137">
        <f t="shared" si="18"/>
        <v>506586.43709856574</v>
      </c>
      <c r="H99" s="111">
        <f t="shared" si="19"/>
        <v>168862.14569952191</v>
      </c>
      <c r="I99" s="143">
        <v>118684.13094382714</v>
      </c>
      <c r="J99" s="144">
        <f t="shared" si="24"/>
        <v>289652.88567260362</v>
      </c>
      <c r="K99" s="156">
        <f t="shared" si="25"/>
        <v>117793</v>
      </c>
      <c r="L99" s="156">
        <f t="shared" si="26"/>
        <v>94234.4</v>
      </c>
      <c r="M99" s="156">
        <f t="shared" si="29"/>
        <v>195418.48567260362</v>
      </c>
      <c r="N99" s="176">
        <f t="shared" si="20"/>
        <v>1.1572663894745057</v>
      </c>
      <c r="O99" s="181">
        <f t="shared" si="27"/>
        <v>1221231.0140452625</v>
      </c>
      <c r="P99" s="52"/>
      <c r="Q99" s="25"/>
      <c r="R99" s="25"/>
      <c r="S99" s="25"/>
      <c r="T99" s="119">
        <f t="shared" si="21"/>
        <v>0</v>
      </c>
      <c r="U99" s="58">
        <f t="shared" si="22"/>
        <v>170968.75472877649</v>
      </c>
      <c r="V99" s="59">
        <f t="shared" si="23"/>
        <v>5.1901593008287271E-3</v>
      </c>
      <c r="W99" s="52">
        <f t="shared" si="30"/>
        <v>389.9203192694647</v>
      </c>
      <c r="X99" s="38">
        <f>C99*Allocations!$B$9</f>
        <v>170968.75472877649</v>
      </c>
      <c r="Y99" s="83">
        <f t="shared" si="28"/>
        <v>195808.40599187309</v>
      </c>
      <c r="Z99" s="41"/>
      <c r="AA99" s="38"/>
      <c r="AB99" s="41"/>
      <c r="AC99" s="38"/>
      <c r="AD99" s="79">
        <v>117793</v>
      </c>
      <c r="AE99" s="73">
        <v>94234.4</v>
      </c>
      <c r="AF99" s="76"/>
      <c r="AG99" s="77"/>
      <c r="AH99" s="79"/>
      <c r="AI99" s="73"/>
      <c r="AJ99" s="26"/>
      <c r="AK99" s="38"/>
      <c r="AL99" s="79"/>
      <c r="AM99" s="73"/>
      <c r="AN99" s="26"/>
      <c r="AO99" s="38"/>
      <c r="AP99" s="79"/>
      <c r="AQ99" s="73"/>
      <c r="AR99" s="26"/>
      <c r="AS99" s="38"/>
      <c r="AT99" s="26"/>
      <c r="AU99" s="38"/>
      <c r="AV99" s="24"/>
      <c r="AW99" s="66"/>
    </row>
    <row r="100" spans="1:50" ht="12.5">
      <c r="A100" s="28" t="s">
        <v>97</v>
      </c>
      <c r="B100" s="17">
        <v>96</v>
      </c>
      <c r="C100" s="124">
        <v>1.7189997205026852E-2</v>
      </c>
      <c r="D100" s="159">
        <v>634483.39215596498</v>
      </c>
      <c r="E100" s="159">
        <v>578949.5731294821</v>
      </c>
      <c r="F100" s="131">
        <f>C100*Allocations!$B$6</f>
        <v>569281.13743887423</v>
      </c>
      <c r="G100" s="136">
        <f t="shared" si="18"/>
        <v>1782714.1027243212</v>
      </c>
      <c r="H100" s="88">
        <f t="shared" si="19"/>
        <v>594238.03424144036</v>
      </c>
      <c r="I100" s="141">
        <v>323343.85209881573</v>
      </c>
      <c r="J100" s="142">
        <f t="shared" si="24"/>
        <v>892624.98953768995</v>
      </c>
      <c r="K100" s="155">
        <f t="shared" si="25"/>
        <v>1233056.8</v>
      </c>
      <c r="L100" s="155">
        <f t="shared" si="26"/>
        <v>986445.44000000006</v>
      </c>
      <c r="M100" s="155">
        <f t="shared" si="29"/>
        <v>-93820.450462310109</v>
      </c>
      <c r="N100" s="175">
        <f t="shared" si="20"/>
        <v>-0.15788361743299426</v>
      </c>
      <c r="O100" s="180">
        <f t="shared" si="27"/>
        <v>3321866.3741709352</v>
      </c>
      <c r="P100" s="51"/>
      <c r="Q100" s="21"/>
      <c r="R100" s="21"/>
      <c r="S100" s="21"/>
      <c r="T100" s="118">
        <f t="shared" si="21"/>
        <v>0</v>
      </c>
      <c r="U100" s="57">
        <f t="shared" si="22"/>
        <v>569281.13743887423</v>
      </c>
      <c r="V100" s="56">
        <f t="shared" si="23"/>
        <v>1.728186998233671E-2</v>
      </c>
      <c r="W100" s="51">
        <f t="shared" si="30"/>
        <v>1298.3324538825127</v>
      </c>
      <c r="X100" s="37">
        <f>C100*Allocations!$B$9</f>
        <v>569281.13743887423</v>
      </c>
      <c r="Y100" s="54">
        <f t="shared" si="28"/>
        <v>-92522.118008427555</v>
      </c>
      <c r="Z100" s="40"/>
      <c r="AA100" s="37"/>
      <c r="AB100" s="40"/>
      <c r="AC100" s="37"/>
      <c r="AD100" s="74">
        <v>96029</v>
      </c>
      <c r="AE100" s="72">
        <f>AD100*0.8</f>
        <v>76823.199999999997</v>
      </c>
      <c r="AF100" s="74"/>
      <c r="AG100" s="72"/>
      <c r="AH100" s="74"/>
      <c r="AI100" s="128"/>
      <c r="AJ100" s="74">
        <v>439742</v>
      </c>
      <c r="AK100" s="82">
        <v>351793.6</v>
      </c>
      <c r="AL100" s="74"/>
      <c r="AM100" s="72"/>
      <c r="AN100" s="74">
        <v>279506.25</v>
      </c>
      <c r="AO100" s="72">
        <v>223605</v>
      </c>
      <c r="AP100" s="74"/>
      <c r="AQ100" s="72"/>
      <c r="AR100" s="74">
        <v>417779.55</v>
      </c>
      <c r="AS100" s="72">
        <v>334223.64</v>
      </c>
      <c r="AT100" s="18"/>
      <c r="AU100" s="37"/>
      <c r="AV100" s="20"/>
      <c r="AW100" s="65"/>
    </row>
    <row r="101" spans="1:50" ht="12.5">
      <c r="A101" s="28" t="s">
        <v>98</v>
      </c>
      <c r="B101" s="17">
        <v>97</v>
      </c>
      <c r="C101" s="124">
        <v>1.5308098100453527E-2</v>
      </c>
      <c r="D101" s="159">
        <v>517621.19511090673</v>
      </c>
      <c r="E101" s="159">
        <v>497346.20016555797</v>
      </c>
      <c r="F101" s="131">
        <f>C101*Allocations!$B$6</f>
        <v>506958.28479271947</v>
      </c>
      <c r="G101" s="136">
        <f>SUM(D101:F101)</f>
        <v>1521925.6800691842</v>
      </c>
      <c r="H101" s="88">
        <f t="shared" si="19"/>
        <v>507308.56002306141</v>
      </c>
      <c r="I101" s="141">
        <v>921641.99741937662</v>
      </c>
      <c r="J101" s="142">
        <f t="shared" si="24"/>
        <v>1428600.282212096</v>
      </c>
      <c r="K101" s="155">
        <f t="shared" si="25"/>
        <v>1598193.37</v>
      </c>
      <c r="L101" s="155">
        <f t="shared" si="26"/>
        <v>1278554.7000000002</v>
      </c>
      <c r="M101" s="155">
        <f t="shared" si="29"/>
        <v>150045.58221209585</v>
      </c>
      <c r="N101" s="175">
        <f t="shared" si="20"/>
        <v>0.29576788967502349</v>
      </c>
      <c r="O101" s="180">
        <f t="shared" si="27"/>
        <v>3191795.2909684125</v>
      </c>
      <c r="P101" s="51"/>
      <c r="Q101" s="21"/>
      <c r="R101" s="21"/>
      <c r="S101" s="21"/>
      <c r="T101" s="118">
        <f t="shared" si="21"/>
        <v>0</v>
      </c>
      <c r="U101" s="57">
        <f>IF(T101&gt;0,0,F101)</f>
        <v>506958.28479271947</v>
      </c>
      <c r="V101" s="56">
        <f>IF(U101&gt;0.01,F101/$U$104,0)</f>
        <v>1.5389912976340138E-2</v>
      </c>
      <c r="W101" s="51">
        <f t="shared" si="30"/>
        <v>1156.1956836865591</v>
      </c>
      <c r="X101" s="37">
        <f>C101*Allocations!$B$9</f>
        <v>506958.28479271947</v>
      </c>
      <c r="Y101" s="54">
        <f t="shared" si="28"/>
        <v>151201.77789578249</v>
      </c>
      <c r="Z101" s="40"/>
      <c r="AA101" s="37"/>
      <c r="AB101" s="40"/>
      <c r="AC101" s="37"/>
      <c r="AD101" s="74"/>
      <c r="AE101" s="72"/>
      <c r="AF101" s="75"/>
      <c r="AG101" s="36"/>
      <c r="AH101" s="74">
        <v>904806.92</v>
      </c>
      <c r="AI101" s="72">
        <v>723845.54</v>
      </c>
      <c r="AJ101" s="74">
        <v>693386.45</v>
      </c>
      <c r="AK101" s="72">
        <v>554709.16</v>
      </c>
      <c r="AL101" s="74"/>
      <c r="AM101" s="72"/>
      <c r="AN101" s="18"/>
      <c r="AO101" s="37"/>
      <c r="AP101" s="74"/>
      <c r="AQ101" s="72"/>
      <c r="AR101" s="18"/>
      <c r="AS101" s="37"/>
      <c r="AT101" s="74"/>
      <c r="AU101" s="72"/>
      <c r="AV101" s="20"/>
      <c r="AW101" s="65"/>
    </row>
    <row r="102" spans="1:50" ht="12.5">
      <c r="A102" s="28" t="s">
        <v>99</v>
      </c>
      <c r="B102" s="17">
        <v>98</v>
      </c>
      <c r="C102" s="124">
        <v>4.4856438616956715E-3</v>
      </c>
      <c r="D102" s="159">
        <v>151800.17278895021</v>
      </c>
      <c r="E102" s="159">
        <v>148397.36950458991</v>
      </c>
      <c r="F102" s="131">
        <f>C102*Allocations!$B$6</f>
        <v>148551.06776777556</v>
      </c>
      <c r="G102" s="136">
        <f>SUM(D102:F102)</f>
        <v>448748.61006131564</v>
      </c>
      <c r="H102" s="88">
        <f t="shared" si="19"/>
        <v>149582.87002043854</v>
      </c>
      <c r="I102" s="141">
        <v>448162.57063240756</v>
      </c>
      <c r="J102" s="142">
        <f t="shared" si="24"/>
        <v>596713.63840018306</v>
      </c>
      <c r="K102" s="155">
        <f t="shared" si="25"/>
        <v>966268.90999999992</v>
      </c>
      <c r="L102" s="155">
        <f t="shared" si="26"/>
        <v>773015.14</v>
      </c>
      <c r="M102" s="155">
        <f t="shared" si="29"/>
        <v>-176301.50159981695</v>
      </c>
      <c r="N102" s="175">
        <f t="shared" si="20"/>
        <v>-1.1786209314992262</v>
      </c>
      <c r="O102" s="180">
        <f t="shared" si="27"/>
        <v>715004.9050068364</v>
      </c>
      <c r="P102" s="50"/>
      <c r="Q102" s="129"/>
      <c r="R102" s="21"/>
      <c r="S102" s="21"/>
      <c r="T102" s="118">
        <f t="shared" si="21"/>
        <v>0</v>
      </c>
      <c r="U102" s="57">
        <f>IF(T102&gt;0,0,F102)</f>
        <v>148551.06776777556</v>
      </c>
      <c r="V102" s="56">
        <f>IF(U102&gt;0.01,F102/$U$104,0)</f>
        <v>4.5096176037900801E-3</v>
      </c>
      <c r="W102" s="51">
        <f t="shared" si="30"/>
        <v>338.7933652772968</v>
      </c>
      <c r="X102" s="37">
        <f>C102*Allocations!$B$9</f>
        <v>148551.06776777556</v>
      </c>
      <c r="Y102" s="54">
        <f t="shared" si="28"/>
        <v>-175962.7082345396</v>
      </c>
      <c r="Z102" s="84">
        <v>239522.4</v>
      </c>
      <c r="AA102" s="72">
        <v>191617.92000000001</v>
      </c>
      <c r="AB102" s="40"/>
      <c r="AC102" s="37"/>
      <c r="AD102" s="74"/>
      <c r="AE102" s="72"/>
      <c r="AF102" s="74">
        <v>327034.8</v>
      </c>
      <c r="AG102" s="72">
        <v>261627.86</v>
      </c>
      <c r="AH102" s="74">
        <v>399711.71</v>
      </c>
      <c r="AI102" s="72">
        <v>319769.36</v>
      </c>
      <c r="AJ102" s="71"/>
      <c r="AK102" s="45"/>
      <c r="AL102" s="74"/>
      <c r="AM102" s="72"/>
      <c r="AN102" s="18"/>
      <c r="AO102" s="37"/>
      <c r="AP102" s="74"/>
      <c r="AQ102" s="72"/>
      <c r="AR102" s="18"/>
      <c r="AS102" s="37"/>
      <c r="AT102" s="74"/>
      <c r="AU102" s="72"/>
      <c r="AV102" s="20"/>
      <c r="AW102" s="65"/>
    </row>
    <row r="103" spans="1:50" ht="12.5">
      <c r="A103" s="22" t="s">
        <v>100</v>
      </c>
      <c r="B103" s="23">
        <v>99</v>
      </c>
      <c r="C103" s="125">
        <v>8.4717448467456231E-3</v>
      </c>
      <c r="D103" s="160">
        <v>290866.8592081414</v>
      </c>
      <c r="E103" s="160">
        <v>292875.86419231922</v>
      </c>
      <c r="F103" s="132">
        <f>C103*Allocations!$B$6</f>
        <v>280558.77408967481</v>
      </c>
      <c r="G103" s="137">
        <f>SUM(D103:F103)</f>
        <v>864301.49749013537</v>
      </c>
      <c r="H103" s="111">
        <f t="shared" si="19"/>
        <v>288100.49916337844</v>
      </c>
      <c r="I103" s="145">
        <v>-247708.56298769591</v>
      </c>
      <c r="J103" s="142">
        <f t="shared" si="24"/>
        <v>32850.211101978901</v>
      </c>
      <c r="K103" s="155">
        <f t="shared" si="25"/>
        <v>632189.5</v>
      </c>
      <c r="L103" s="155">
        <f t="shared" si="26"/>
        <v>505751.6</v>
      </c>
      <c r="M103" s="155">
        <f t="shared" si="29"/>
        <v>-472901.38889802108</v>
      </c>
      <c r="N103" s="175">
        <f t="shared" si="20"/>
        <v>-1.6414459199872617</v>
      </c>
      <c r="O103" s="181">
        <f t="shared" si="27"/>
        <v>1210451.2556400278</v>
      </c>
      <c r="P103" s="52"/>
      <c r="Q103" s="25"/>
      <c r="R103" s="25"/>
      <c r="S103" s="25"/>
      <c r="T103" s="118">
        <f t="shared" si="21"/>
        <v>0</v>
      </c>
      <c r="U103" s="57">
        <f>IF(T103&gt;0,0,F103)</f>
        <v>280558.77408967481</v>
      </c>
      <c r="V103" s="59">
        <f>IF(U103&gt;0.01,F103/$U$104,0)</f>
        <v>8.5170224996997147E-3</v>
      </c>
      <c r="W103" s="52">
        <f t="shared" si="30"/>
        <v>639.85707178156554</v>
      </c>
      <c r="X103" s="37">
        <f>C103*Allocations!$B$9</f>
        <v>280558.77408967481</v>
      </c>
      <c r="Y103" s="54">
        <f t="shared" si="28"/>
        <v>-472261.53182623954</v>
      </c>
      <c r="Z103" s="41"/>
      <c r="AA103" s="38"/>
      <c r="AB103" s="41"/>
      <c r="AC103" s="38"/>
      <c r="AD103" s="79"/>
      <c r="AE103" s="73"/>
      <c r="AF103" s="79">
        <v>632189.5</v>
      </c>
      <c r="AG103" s="73">
        <v>505751.6</v>
      </c>
      <c r="AH103" s="79"/>
      <c r="AI103" s="127"/>
      <c r="AJ103" s="26"/>
      <c r="AK103" s="38"/>
      <c r="AL103" s="79"/>
      <c r="AM103" s="73"/>
      <c r="AN103" s="26"/>
      <c r="AO103" s="38"/>
      <c r="AP103" s="79"/>
      <c r="AQ103" s="73"/>
      <c r="AR103" s="79"/>
      <c r="AS103" s="73"/>
      <c r="AT103" s="26"/>
      <c r="AU103" s="38"/>
      <c r="AV103" s="24"/>
      <c r="AW103" s="66"/>
    </row>
    <row r="104" spans="1:50" thickBot="1">
      <c r="A104" s="13"/>
      <c r="B104" s="30"/>
      <c r="C104" s="126">
        <f>SUM(C5:C103)</f>
        <v>1.0000000000000002</v>
      </c>
      <c r="D104" s="161">
        <f>SUM(D5:D103)</f>
        <v>33298552.000000004</v>
      </c>
      <c r="E104" s="162">
        <f>SUM(E5:E103)</f>
        <v>33116999.999999996</v>
      </c>
      <c r="F104" s="133">
        <f>SUM(F5:F103)</f>
        <v>33117000</v>
      </c>
      <c r="G104" s="138">
        <f t="shared" ref="G104:M104" si="31">SUM(G5:G103)</f>
        <v>99532551.99999997</v>
      </c>
      <c r="H104" s="140">
        <f t="shared" si="31"/>
        <v>33177517.33333334</v>
      </c>
      <c r="I104" s="146">
        <f t="shared" si="31"/>
        <v>32819164.274003539</v>
      </c>
      <c r="J104" s="147">
        <f t="shared" si="31"/>
        <v>65936164.27400355</v>
      </c>
      <c r="K104" s="147">
        <f t="shared" si="31"/>
        <v>57563337.29999999</v>
      </c>
      <c r="L104" s="147">
        <f t="shared" si="31"/>
        <v>40950882.339999996</v>
      </c>
      <c r="M104" s="147">
        <f t="shared" si="31"/>
        <v>24985281.934003532</v>
      </c>
      <c r="N104" s="151"/>
      <c r="O104" s="180"/>
      <c r="P104" s="33"/>
      <c r="Q104" s="33"/>
      <c r="R104" s="33"/>
      <c r="S104" s="33"/>
      <c r="T104" s="60">
        <f t="shared" ref="T104:AT104" si="32">SUM(T5:T103)</f>
        <v>75126.850000000006</v>
      </c>
      <c r="U104" s="61">
        <f t="shared" si="32"/>
        <v>32940945.512303915</v>
      </c>
      <c r="V104" s="62">
        <f t="shared" si="32"/>
        <v>1.0000000000000004</v>
      </c>
      <c r="W104" s="49">
        <f t="shared" si="32"/>
        <v>75126.850000000006</v>
      </c>
      <c r="X104" s="63">
        <f>SUM(X5:X103)</f>
        <v>33117000</v>
      </c>
      <c r="Y104" s="89">
        <f t="shared" si="28"/>
        <v>24985281.934003539</v>
      </c>
      <c r="Z104" s="43">
        <f t="shared" si="32"/>
        <v>4203364.75</v>
      </c>
      <c r="AA104" s="46">
        <f>SUM(AA5:AA103)</f>
        <v>3362691.8</v>
      </c>
      <c r="AB104" s="43">
        <f t="shared" si="32"/>
        <v>7005095.8900000006</v>
      </c>
      <c r="AC104" s="46">
        <f>SUM(AC5:AC103)</f>
        <v>5602476.7000000002</v>
      </c>
      <c r="AD104" s="103">
        <f t="shared" si="32"/>
        <v>3911865.3899999997</v>
      </c>
      <c r="AE104" s="104">
        <f>SUM(AE5:AE103)</f>
        <v>2784665.72</v>
      </c>
      <c r="AF104" s="31">
        <f t="shared" si="32"/>
        <v>6176369.5999999996</v>
      </c>
      <c r="AG104" s="46">
        <f>SUM(AG5:AG103)</f>
        <v>4926703.6899999995</v>
      </c>
      <c r="AH104" s="103">
        <f t="shared" si="32"/>
        <v>8555955.8000000007</v>
      </c>
      <c r="AI104" s="104">
        <f>SUM(AI5:AI103)</f>
        <v>5832466.6299999999</v>
      </c>
      <c r="AJ104" s="31">
        <f t="shared" si="32"/>
        <v>3818741.55</v>
      </c>
      <c r="AK104" s="46">
        <f>SUM(AK5:AK103)</f>
        <v>3054993.24</v>
      </c>
      <c r="AL104" s="31">
        <f t="shared" si="32"/>
        <v>2694415.27</v>
      </c>
      <c r="AM104" s="39">
        <f>SUM(AM5:AM103)</f>
        <v>2145612.2199999997</v>
      </c>
      <c r="AN104" s="31">
        <f t="shared" si="32"/>
        <v>3458327.2099999995</v>
      </c>
      <c r="AO104" s="46">
        <f>SUM(AO5:AO103)</f>
        <v>2505494.58</v>
      </c>
      <c r="AP104" s="103">
        <f t="shared" si="32"/>
        <v>5283403.82</v>
      </c>
      <c r="AQ104" s="104">
        <f>SUM(AQ5:AQ103)</f>
        <v>2966439.73</v>
      </c>
      <c r="AR104" s="31">
        <f t="shared" si="32"/>
        <v>1939654.39</v>
      </c>
      <c r="AS104" s="46">
        <f>SUM(AS5:AS103)</f>
        <v>1551723.5100000002</v>
      </c>
      <c r="AT104" s="31">
        <f t="shared" si="32"/>
        <v>2605466.1</v>
      </c>
      <c r="AU104" s="46">
        <f>SUM(AU5:AU103)</f>
        <v>2084372.8699999999</v>
      </c>
      <c r="AV104" s="32">
        <f>SUM(AV5:AV103)</f>
        <v>7910677.5300000003</v>
      </c>
      <c r="AW104" s="64">
        <f>SUM(AW5:AW103)</f>
        <v>4133241.6500000004</v>
      </c>
    </row>
    <row r="105" spans="1:50" ht="13.5" thickTop="1">
      <c r="I105" s="148"/>
      <c r="AA105" s="68">
        <f>IF(Z104=0,0,(AA104/Z104)*100)</f>
        <v>80</v>
      </c>
      <c r="AB105" s="13"/>
      <c r="AC105" s="68">
        <f>IF(AB104=0,0,(AC104/AB104)*100)</f>
        <v>79.977159313375225</v>
      </c>
      <c r="AD105" s="13"/>
      <c r="AE105" s="68">
        <f>IF(AD104=0,0,(AE104/AD104)*100)</f>
        <v>71.185110998924245</v>
      </c>
      <c r="AF105" s="13"/>
      <c r="AG105" s="68">
        <f>IF(AF104=0,0,(AG104/AF104)*100)</f>
        <v>79.766983018632814</v>
      </c>
      <c r="AH105" s="99"/>
      <c r="AI105" s="107">
        <f>IF(AH104=0,0,(AI104/AH104)*100)</f>
        <v>68.168498836798562</v>
      </c>
      <c r="AJ105" s="13"/>
      <c r="AK105" s="68">
        <f>IF(AJ104=0,0,(AK104/AJ104)*100)</f>
        <v>80</v>
      </c>
      <c r="AL105" s="13"/>
      <c r="AM105" s="68">
        <f>IF(AL104=0,0,(AM104/AL104)*100)</f>
        <v>79.631831213605011</v>
      </c>
      <c r="AN105" s="13"/>
      <c r="AO105" s="68">
        <f>IF(AN104=0,0,(AO104/AN104)*100)</f>
        <v>72.44816432508712</v>
      </c>
      <c r="AP105" s="99"/>
      <c r="AQ105" s="68">
        <f>IF(AP104=0,0,(AQ104/AP104)*100)</f>
        <v>56.146375160095175</v>
      </c>
      <c r="AR105" s="13"/>
      <c r="AS105" s="68">
        <f>IF(AR104=0,0,(AS104/AR104)*100)</f>
        <v>79.999999896888866</v>
      </c>
      <c r="AT105" s="13"/>
      <c r="AU105" s="68">
        <f>IF(AT104=0,0,(AU104/AT104)*100)</f>
        <v>79.999999616191502</v>
      </c>
      <c r="AV105" s="13"/>
      <c r="AW105" s="68">
        <f>IF(AV104=0,0,(AW104/AV104)*100)</f>
        <v>52.248895677081151</v>
      </c>
    </row>
    <row r="106" spans="1:50" ht="15" customHeight="1">
      <c r="T106" s="121"/>
      <c r="U106" s="6"/>
      <c r="Z106" s="5"/>
      <c r="AA106" s="5"/>
      <c r="AB106" s="5"/>
      <c r="AC106" s="5"/>
      <c r="AJ106" s="187"/>
      <c r="AK106" s="187"/>
    </row>
    <row r="107" spans="1:50" ht="12.75" customHeight="1">
      <c r="T107" s="121"/>
      <c r="U107" s="6"/>
      <c r="Z107" s="5"/>
      <c r="AA107" s="5"/>
      <c r="AB107" s="5"/>
      <c r="AC107" s="5"/>
      <c r="AJ107" s="187"/>
      <c r="AK107" s="187"/>
    </row>
    <row r="108" spans="1:50" ht="12.75" customHeight="1">
      <c r="AJ108" s="198"/>
      <c r="AK108" s="198"/>
    </row>
    <row r="109" spans="1:50" ht="12.75" customHeight="1">
      <c r="AJ109" s="198"/>
      <c r="AK109" s="198"/>
    </row>
    <row r="110" spans="1:50" ht="12.75" customHeight="1">
      <c r="AJ110" s="199"/>
      <c r="AK110" s="199"/>
    </row>
    <row r="111" spans="1:50">
      <c r="AJ111" s="199"/>
      <c r="AK111" s="199"/>
    </row>
    <row r="112" spans="1:50">
      <c r="AJ112" s="199"/>
      <c r="AK112" s="199"/>
    </row>
    <row r="113" spans="36:37">
      <c r="AJ113" s="199"/>
      <c r="AK113" s="199"/>
    </row>
    <row r="114" spans="36:37">
      <c r="AJ114" s="199"/>
      <c r="AK114" s="199"/>
    </row>
  </sheetData>
  <mergeCells count="43">
    <mergeCell ref="A1:D1"/>
    <mergeCell ref="K2:L2"/>
    <mergeCell ref="Z3:AA3"/>
    <mergeCell ref="AB3:AC3"/>
    <mergeCell ref="AL3:AM3"/>
    <mergeCell ref="AH3:AI3"/>
    <mergeCell ref="D3:D4"/>
    <mergeCell ref="F3:F4"/>
    <mergeCell ref="G3:G4"/>
    <mergeCell ref="H3:H4"/>
    <mergeCell ref="I2:I4"/>
    <mergeCell ref="C2:C4"/>
    <mergeCell ref="D2:H2"/>
    <mergeCell ref="AN3:AO3"/>
    <mergeCell ref="L3:L4"/>
    <mergeCell ref="T2:T4"/>
    <mergeCell ref="V2:V4"/>
    <mergeCell ref="U2:U4"/>
    <mergeCell ref="W2:W4"/>
    <mergeCell ref="AJ3:AK3"/>
    <mergeCell ref="AJ108:AK109"/>
    <mergeCell ref="AJ110:AK114"/>
    <mergeCell ref="A2:A4"/>
    <mergeCell ref="B2:B4"/>
    <mergeCell ref="M2:M4"/>
    <mergeCell ref="X2:X4"/>
    <mergeCell ref="N2:N4"/>
    <mergeCell ref="P2:S2"/>
    <mergeCell ref="J2:J4"/>
    <mergeCell ref="Y2:Y4"/>
    <mergeCell ref="Z2:AW2"/>
    <mergeCell ref="AP3:AQ3"/>
    <mergeCell ref="AR3:AS3"/>
    <mergeCell ref="AT3:AU3"/>
    <mergeCell ref="AV3:AW3"/>
    <mergeCell ref="AD3:AE3"/>
    <mergeCell ref="AJ106:AK107"/>
    <mergeCell ref="AF3:AG3"/>
    <mergeCell ref="K3:K4"/>
    <mergeCell ref="E3:E4"/>
    <mergeCell ref="P3:Q3"/>
    <mergeCell ref="R3:S3"/>
    <mergeCell ref="O2:O4"/>
  </mergeCells>
  <printOptions headings="1" gridLines="1"/>
  <pageMargins left="0.2" right="0.2" top="0.75" bottom="0.75" header="0.3" footer="0.3"/>
  <pageSetup paperSize="17" fitToHeight="2" orientation="landscape" r:id="rId1"/>
  <ignoredErrors>
    <ignoredError sqref="Y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Allocations</vt:lpstr>
      <vt:lpstr>Worksheet</vt:lpstr>
      <vt:lpstr>Worksheet!Print_Area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Buchwald</dc:creator>
  <cp:lastModifiedBy>Fox, Nicole</cp:lastModifiedBy>
  <cp:lastPrinted>2013-11-08T18:31:22Z</cp:lastPrinted>
  <dcterms:created xsi:type="dcterms:W3CDTF">2010-06-08T23:01:27Z</dcterms:created>
  <dcterms:modified xsi:type="dcterms:W3CDTF">2016-12-29T17:19:43Z</dcterms:modified>
</cp:coreProperties>
</file>