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ighway\Design\MethodsSection\DesignManual\002B_Superelevation\2025_04_29\"/>
    </mc:Choice>
  </mc:AlternateContent>
  <xr:revisionPtr revIDLastSave="0" documentId="13_ncr:1_{09720A8F-AD67-4875-B049-581AF4308A98}" xr6:coauthVersionLast="47" xr6:coauthVersionMax="47" xr10:uidLastSave="{00000000-0000-0000-0000-000000000000}"/>
  <workbookProtection lockStructure="1"/>
  <bookViews>
    <workbookView xWindow="-120" yWindow="-120" windowWidth="29040" windowHeight="15720" xr2:uid="{2101F8ED-4D11-4D81-B4E7-88F497290A37}"/>
  </bookViews>
  <sheets>
    <sheet name="Calc e for a given R" sheetId="5" r:id="rId1"/>
    <sheet name="Calc R for a given e" sheetId="6" r:id="rId2"/>
  </sheets>
  <definedNames>
    <definedName name="solver_adj" localSheetId="0" hidden="1">#N/A</definedName>
    <definedName name="solver_adj" localSheetId="1" hidden="1">#N/A</definedName>
    <definedName name="solver_cvg" localSheetId="0" hidden="1">0.0001</definedName>
    <definedName name="solver_cvg" localSheetId="1" hidden="1">0.0001</definedName>
    <definedName name="solver_drv" localSheetId="0" hidden="1">1</definedName>
    <definedName name="solver_drv" localSheetId="1" hidden="1">1</definedName>
    <definedName name="solver_est" localSheetId="0" hidden="1">1</definedName>
    <definedName name="solver_est" localSheetId="1" hidden="1">1</definedName>
    <definedName name="solver_itr" localSheetId="0" hidden="1">100</definedName>
    <definedName name="solver_itr" localSheetId="1" hidden="1">100</definedName>
    <definedName name="solver_lhs1" localSheetId="0" hidden="1">#N/A</definedName>
    <definedName name="solver_lhs1" localSheetId="1" hidden="1">#N/A</definedName>
    <definedName name="solver_lin" localSheetId="0" hidden="1">2</definedName>
    <definedName name="solver_lin" localSheetId="1" hidden="1">2</definedName>
    <definedName name="solver_neg" localSheetId="0" hidden="1">2</definedName>
    <definedName name="solver_neg" localSheetId="1" hidden="1">2</definedName>
    <definedName name="solver_num" localSheetId="0" hidden="1">1</definedName>
    <definedName name="solver_num" localSheetId="1" hidden="1">1</definedName>
    <definedName name="solver_nwt" localSheetId="0" hidden="1">1</definedName>
    <definedName name="solver_nwt" localSheetId="1" hidden="1">1</definedName>
    <definedName name="solver_pre" localSheetId="0" hidden="1">0.000001</definedName>
    <definedName name="solver_pre" localSheetId="1" hidden="1">0.000001</definedName>
    <definedName name="solver_rel1" localSheetId="0" hidden="1">2</definedName>
    <definedName name="solver_rel1" localSheetId="1" hidden="1">2</definedName>
    <definedName name="solver_rhs1" localSheetId="0" hidden="1">#N/A</definedName>
    <definedName name="solver_rhs1" localSheetId="1" hidden="1">#N/A</definedName>
    <definedName name="solver_scl" localSheetId="0" hidden="1">2</definedName>
    <definedName name="solver_scl" localSheetId="1" hidden="1">2</definedName>
    <definedName name="solver_sho" localSheetId="0" hidden="1">2</definedName>
    <definedName name="solver_sho" localSheetId="1" hidden="1">2</definedName>
    <definedName name="solver_tim" localSheetId="0" hidden="1">100</definedName>
    <definedName name="solver_tim" localSheetId="1" hidden="1">100</definedName>
    <definedName name="solver_tol" localSheetId="0" hidden="1">0.05</definedName>
    <definedName name="solver_tol" localSheetId="1" hidden="1">0.05</definedName>
    <definedName name="solver_typ" localSheetId="0" hidden="1">2</definedName>
    <definedName name="solver_typ" localSheetId="1" hidden="1">2</definedName>
    <definedName name="solver_val" localSheetId="0" hidden="1">0</definedName>
    <definedName name="solver_val" localSheetId="1" hidden="1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5" l="1"/>
  <c r="B20" i="5"/>
  <c r="D9" i="5"/>
  <c r="B9" i="5"/>
  <c r="B12" i="5"/>
  <c r="B22" i="5"/>
  <c r="B11" i="6"/>
  <c r="B20" i="6"/>
  <c r="B9" i="6"/>
  <c r="B13" i="6"/>
  <c r="D9" i="6"/>
  <c r="B24" i="6"/>
  <c r="B27" i="6"/>
  <c r="B30" i="6"/>
  <c r="C3" i="6"/>
  <c r="C4" i="6"/>
  <c r="C3" i="5"/>
  <c r="C4" i="5"/>
  <c r="B16" i="5"/>
  <c r="B11" i="5"/>
  <c r="B21" i="5"/>
  <c r="B14" i="6"/>
  <c r="B31" i="6"/>
  <c r="B15" i="6"/>
  <c r="B17" i="6"/>
  <c r="B16" i="6"/>
  <c r="B13" i="5"/>
  <c r="B14" i="5"/>
  <c r="B12" i="6"/>
  <c r="B21" i="6"/>
  <c r="B17" i="5"/>
  <c r="B15" i="5"/>
  <c r="B18" i="5"/>
  <c r="B27" i="5"/>
  <c r="B25" i="5"/>
  <c r="B26" i="5"/>
  <c r="B18" i="6"/>
  <c r="B28" i="5"/>
  <c r="D6" i="5"/>
  <c r="B38" i="6"/>
  <c r="B32" i="6"/>
  <c r="B25" i="6"/>
  <c r="C25" i="6"/>
  <c r="B37" i="6"/>
  <c r="B36" i="6"/>
  <c r="B35" i="6"/>
  <c r="B26" i="6"/>
  <c r="C26" i="6"/>
  <c r="B23" i="6"/>
  <c r="D6" i="6"/>
</calcChain>
</file>

<file path=xl/sharedStrings.xml><?xml version="1.0" encoding="utf-8"?>
<sst xmlns="http://schemas.openxmlformats.org/spreadsheetml/2006/main" count="143" uniqueCount="78">
  <si>
    <t>Vr</t>
  </si>
  <si>
    <t>R min</t>
  </si>
  <si>
    <t>e max</t>
  </si>
  <si>
    <t>R pi</t>
  </si>
  <si>
    <t>h pi</t>
  </si>
  <si>
    <t>S1</t>
  </si>
  <si>
    <t>S2</t>
  </si>
  <si>
    <t>MO</t>
  </si>
  <si>
    <t>L1</t>
  </si>
  <si>
    <t>L2</t>
  </si>
  <si>
    <t>R</t>
  </si>
  <si>
    <t>f max</t>
  </si>
  <si>
    <t xml:space="preserve">e  </t>
  </si>
  <si>
    <t>User Input Boxes in Yellow</t>
  </si>
  <si>
    <t>From AASHTO, 2004:</t>
  </si>
  <si>
    <t>Ave Running Speed (mph)</t>
  </si>
  <si>
    <t>Design Speed (mph)</t>
  </si>
  <si>
    <t>Exhibit 3-14, Page 143</t>
  </si>
  <si>
    <t>Exhibit 3-14, Pg. 147</t>
  </si>
  <si>
    <t>Maximum f</t>
  </si>
  <si>
    <t>Equation 3-12, Pg. 160</t>
  </si>
  <si>
    <t>English (E) or Metric (M)?</t>
  </si>
  <si>
    <t>E</t>
  </si>
  <si>
    <t>Equation 3-14, Pg. 160</t>
  </si>
  <si>
    <t>Equation 3-13, Pg. 160</t>
  </si>
  <si>
    <t>Unit Factor, R equations:</t>
  </si>
  <si>
    <t>Unit Factor, S equations:</t>
  </si>
  <si>
    <t>Equation 3-16, Pg. 161</t>
  </si>
  <si>
    <t>Equation 3-15, Pg. 160</t>
  </si>
  <si>
    <t>Equation 3-17, Pg. 161</t>
  </si>
  <si>
    <t>see definition on Pg. 161</t>
  </si>
  <si>
    <t>1 / R</t>
  </si>
  <si>
    <t>Solution in Blue</t>
  </si>
  <si>
    <t>Equation 3-19, Pg. 161</t>
  </si>
  <si>
    <r>
      <t>(0.01e + f )</t>
    </r>
    <r>
      <rPr>
        <vertAlign val="subscript"/>
        <sz val="10"/>
        <rFont val="Arial"/>
        <family val="2"/>
      </rPr>
      <t>D</t>
    </r>
  </si>
  <si>
    <r>
      <t>R * (0.01e + f )</t>
    </r>
    <r>
      <rPr>
        <vertAlign val="subscript"/>
        <sz val="10"/>
        <rFont val="Arial"/>
        <family val="2"/>
      </rPr>
      <t>D</t>
    </r>
  </si>
  <si>
    <r>
      <t>f</t>
    </r>
    <r>
      <rPr>
        <vertAlign val="subscript"/>
        <sz val="10"/>
        <rFont val="Arial"/>
        <family val="2"/>
      </rPr>
      <t>1</t>
    </r>
  </si>
  <si>
    <r>
      <t>f</t>
    </r>
    <r>
      <rPr>
        <vertAlign val="subscript"/>
        <sz val="10"/>
        <rFont val="Arial"/>
        <family val="2"/>
      </rPr>
      <t>2</t>
    </r>
  </si>
  <si>
    <t>Equation 3-23, Pg. 162</t>
  </si>
  <si>
    <t>Equation 3-21, Pg. 162</t>
  </si>
  <si>
    <r>
      <t>For 1/R &lt;= 1/ R</t>
    </r>
    <r>
      <rPr>
        <vertAlign val="subscript"/>
        <sz val="10"/>
        <rFont val="Arial"/>
        <family val="2"/>
      </rPr>
      <t>PI</t>
    </r>
  </si>
  <si>
    <r>
      <t>1 / R</t>
    </r>
    <r>
      <rPr>
        <vertAlign val="subscript"/>
        <sz val="10"/>
        <rFont val="Arial"/>
        <family val="2"/>
      </rPr>
      <t>PI</t>
    </r>
  </si>
  <si>
    <r>
      <t>1 / R</t>
    </r>
    <r>
      <rPr>
        <vertAlign val="subscript"/>
        <sz val="10"/>
        <rFont val="Arial"/>
        <family val="2"/>
      </rPr>
      <t>min</t>
    </r>
  </si>
  <si>
    <r>
      <t>For 1/R &gt; 1/ R</t>
    </r>
    <r>
      <rPr>
        <vertAlign val="subscript"/>
        <sz val="10"/>
        <rFont val="Arial"/>
        <family val="2"/>
      </rPr>
      <t>PI</t>
    </r>
  </si>
  <si>
    <t>e:</t>
  </si>
  <si>
    <r>
      <t>= (0.01e</t>
    </r>
    <r>
      <rPr>
        <vertAlign val="subscript"/>
        <sz val="10"/>
        <rFont val="Arial"/>
        <family val="2"/>
      </rPr>
      <t>max</t>
    </r>
    <r>
      <rPr>
        <sz val="10"/>
        <rFont val="Arial"/>
      </rPr>
      <t xml:space="preserve"> + f</t>
    </r>
    <r>
      <rPr>
        <vertAlign val="subscript"/>
        <sz val="10"/>
        <rFont val="Arial"/>
        <family val="2"/>
      </rPr>
      <t>max</t>
    </r>
    <r>
      <rPr>
        <sz val="10"/>
        <rFont val="Arial"/>
      </rPr>
      <t>) * R</t>
    </r>
    <r>
      <rPr>
        <vertAlign val="subscript"/>
        <sz val="10"/>
        <rFont val="Arial"/>
        <family val="2"/>
      </rPr>
      <t>min</t>
    </r>
  </si>
  <si>
    <r>
      <t>R based on f</t>
    </r>
    <r>
      <rPr>
        <vertAlign val="subscript"/>
        <sz val="10"/>
        <rFont val="Arial"/>
        <family val="2"/>
      </rPr>
      <t>1</t>
    </r>
  </si>
  <si>
    <r>
      <t>R based on f</t>
    </r>
    <r>
      <rPr>
        <vertAlign val="subscript"/>
        <sz val="10"/>
        <rFont val="Arial"/>
        <family val="2"/>
      </rPr>
      <t>2</t>
    </r>
  </si>
  <si>
    <t>Quadratic Solution:</t>
  </si>
  <si>
    <t>a</t>
  </si>
  <si>
    <t>b</t>
  </si>
  <si>
    <t>c</t>
  </si>
  <si>
    <r>
      <t>= Conv * S1 - (0.01e</t>
    </r>
    <r>
      <rPr>
        <vertAlign val="subscript"/>
        <sz val="10"/>
        <rFont val="Arial"/>
        <family val="2"/>
      </rPr>
      <t>max</t>
    </r>
    <r>
      <rPr>
        <sz val="10"/>
        <rFont val="Arial"/>
      </rPr>
      <t xml:space="preserve"> + f</t>
    </r>
    <r>
      <rPr>
        <vertAlign val="subscript"/>
        <sz val="10"/>
        <rFont val="Arial"/>
        <family val="2"/>
      </rPr>
      <t>max</t>
    </r>
    <r>
      <rPr>
        <sz val="10"/>
        <rFont val="Arial"/>
      </rPr>
      <t>) * R</t>
    </r>
    <r>
      <rPr>
        <vertAlign val="subscript"/>
        <sz val="10"/>
        <rFont val="Arial"/>
        <family val="2"/>
      </rPr>
      <t>min</t>
    </r>
  </si>
  <si>
    <r>
      <t>= MO * R</t>
    </r>
    <r>
      <rPr>
        <vertAlign val="subscript"/>
        <sz val="10"/>
        <rFont val="Arial"/>
        <family val="2"/>
      </rPr>
      <t>pi</t>
    </r>
    <r>
      <rPr>
        <vertAlign val="superscript"/>
        <sz val="10"/>
        <rFont val="Arial"/>
        <family val="2"/>
      </rPr>
      <t>2</t>
    </r>
  </si>
  <si>
    <t>x</t>
  </si>
  <si>
    <r>
      <t xml:space="preserve">x =   </t>
    </r>
    <r>
      <rPr>
        <u/>
        <sz val="10"/>
        <rFont val="Arial"/>
        <family val="2"/>
      </rPr>
      <t xml:space="preserve">       MO      </t>
    </r>
    <r>
      <rPr>
        <sz val="10"/>
        <rFont val="Arial"/>
      </rPr>
      <t xml:space="preserve">
       ( 1/R</t>
    </r>
    <r>
      <rPr>
        <vertAlign val="subscript"/>
        <sz val="10"/>
        <rFont val="Arial"/>
        <family val="2"/>
      </rPr>
      <t>min</t>
    </r>
    <r>
      <rPr>
        <sz val="10"/>
        <rFont val="Arial"/>
      </rPr>
      <t xml:space="preserve"> - 1/R</t>
    </r>
    <r>
      <rPr>
        <vertAlign val="subscript"/>
        <sz val="10"/>
        <rFont val="Arial"/>
        <family val="2"/>
      </rPr>
      <t>pi</t>
    </r>
    <r>
      <rPr>
        <sz val="10"/>
        <rFont val="Arial"/>
      </rPr>
      <t xml:space="preserve"> )</t>
    </r>
    <r>
      <rPr>
        <vertAlign val="superscript"/>
        <sz val="10"/>
        <rFont val="Arial"/>
        <family val="2"/>
      </rPr>
      <t>2</t>
    </r>
  </si>
  <si>
    <t>= x</t>
  </si>
  <si>
    <r>
      <t>= - 2 * x / R</t>
    </r>
    <r>
      <rPr>
        <vertAlign val="subscript"/>
        <sz val="10"/>
        <rFont val="Arial"/>
        <family val="2"/>
      </rPr>
      <t>min</t>
    </r>
    <r>
      <rPr>
        <sz val="10"/>
        <rFont val="Arial"/>
      </rPr>
      <t xml:space="preserve">  - </t>
    </r>
    <r>
      <rPr>
        <sz val="10"/>
        <rFont val="Arial"/>
        <family val="2"/>
      </rPr>
      <t>(0.01 e</t>
    </r>
    <r>
      <rPr>
        <vertAlign val="subscript"/>
        <sz val="10"/>
        <rFont val="Arial"/>
        <family val="2"/>
      </rPr>
      <t xml:space="preserve">max </t>
    </r>
    <r>
      <rPr>
        <sz val="10"/>
        <rFont val="Arial"/>
        <family val="2"/>
      </rPr>
      <t>+ f</t>
    </r>
    <r>
      <rPr>
        <vertAlign val="subscript"/>
        <sz val="10"/>
        <rFont val="Arial"/>
        <family val="2"/>
      </rPr>
      <t>max</t>
    </r>
    <r>
      <rPr>
        <sz val="10"/>
        <rFont val="Arial"/>
        <family val="2"/>
      </rPr>
      <t>) * R</t>
    </r>
    <r>
      <rPr>
        <vertAlign val="subscript"/>
        <sz val="10"/>
        <rFont val="Arial"/>
        <family val="2"/>
      </rPr>
      <t>min</t>
    </r>
    <r>
      <rPr>
        <sz val="10"/>
        <rFont val="Arial"/>
        <family val="2"/>
      </rPr>
      <t xml:space="preserve"> + Conv * s2</t>
    </r>
  </si>
  <si>
    <t>Vd - Des Speed</t>
  </si>
  <si>
    <t>ENGLISH</t>
  </si>
  <si>
    <t>METRIC</t>
  </si>
  <si>
    <r>
      <t>= 0.01 * e + h pi + x / R</t>
    </r>
    <r>
      <rPr>
        <vertAlign val="subscript"/>
        <sz val="10"/>
        <rFont val="Arial"/>
        <family val="2"/>
      </rPr>
      <t>min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- Conv * S2 / R</t>
    </r>
    <r>
      <rPr>
        <vertAlign val="subscript"/>
        <sz val="10"/>
        <rFont val="Arial"/>
        <family val="2"/>
      </rPr>
      <t>PI</t>
    </r>
  </si>
  <si>
    <t>= 0.01 * e</t>
  </si>
  <si>
    <t>Equation 3-11 Pg 3-38</t>
  </si>
  <si>
    <t>Equation 3-8,  Pg 3-33</t>
  </si>
  <si>
    <t>Equation 3-12 Pg 3-38</t>
  </si>
  <si>
    <t>Equation 3-13 Pg 3-38</t>
  </si>
  <si>
    <t>Equation 3-14 Pg 3-39</t>
  </si>
  <si>
    <t>See definition on Pg 3-39</t>
  </si>
  <si>
    <t>see definition on Pg 3-39</t>
  </si>
  <si>
    <t>Equation 3-15 on Pg 3-39</t>
  </si>
  <si>
    <t xml:space="preserve">Equation </t>
  </si>
  <si>
    <t>AASHTO 2018</t>
  </si>
  <si>
    <t>Equation 3-17, Pg 3-39</t>
  </si>
  <si>
    <t>Equation 3-19, Page 3-39</t>
  </si>
  <si>
    <t>Eq. 3-19,3.39</t>
  </si>
  <si>
    <t>Eq 3-21, 3.40</t>
  </si>
  <si>
    <t>Equation 3-21, Page 3-40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</si>
</sst>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"/>
    <numFmt numFmtId="165" formatCode="0.000"/>
    <numFmt numFmtId="166" formatCode="0.0"/>
    <numFmt numFmtId="167" formatCode="0.000000"/>
    <numFmt numFmtId="168" formatCode="0.0000000"/>
  </numFmts>
  <fonts count="7" x14ac:knownFonts="1">
    <font>
      <sz val="10"/>
      <name val="Arial"/>
    </font>
    <font>
      <sz val="10"/>
      <name val="Arial"/>
    </font>
    <font>
      <sz val="8"/>
      <name val="Arial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0" xfId="0" applyAlignment="1">
      <alignment horizontal="right"/>
    </xf>
    <xf numFmtId="16" fontId="0" fillId="0" borderId="0" xfId="0" applyNumberFormat="1"/>
    <xf numFmtId="0" fontId="1" fillId="3" borderId="0" xfId="0" applyFont="1" applyFill="1"/>
    <xf numFmtId="167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Fill="1" applyBorder="1"/>
    <xf numFmtId="164" fontId="0" fillId="0" borderId="8" xfId="0" applyNumberFormat="1" applyBorder="1"/>
    <xf numFmtId="0" fontId="0" fillId="0" borderId="9" xfId="0" applyBorder="1"/>
    <xf numFmtId="164" fontId="0" fillId="0" borderId="10" xfId="0" applyNumberFormat="1" applyBorder="1"/>
    <xf numFmtId="164" fontId="0" fillId="0" borderId="7" xfId="0" applyNumberFormat="1" applyBorder="1"/>
    <xf numFmtId="10" fontId="0" fillId="0" borderId="7" xfId="1" applyNumberFormat="1" applyFont="1" applyBorder="1"/>
    <xf numFmtId="0" fontId="0" fillId="0" borderId="0" xfId="0" applyAlignment="1">
      <alignment horizontal="left"/>
    </xf>
    <xf numFmtId="10" fontId="0" fillId="3" borderId="11" xfId="0" applyNumberFormat="1" applyFill="1" applyBorder="1" applyAlignment="1">
      <alignment horizontal="left"/>
    </xf>
    <xf numFmtId="10" fontId="1" fillId="0" borderId="7" xfId="1" applyNumberFormat="1" applyBorder="1"/>
    <xf numFmtId="0" fontId="0" fillId="0" borderId="0" xfId="0" quotePrefix="1"/>
    <xf numFmtId="0" fontId="0" fillId="0" borderId="12" xfId="0" applyBorder="1"/>
    <xf numFmtId="0" fontId="0" fillId="0" borderId="13" xfId="0" applyBorder="1"/>
    <xf numFmtId="0" fontId="0" fillId="0" borderId="5" xfId="0" applyBorder="1" applyAlignment="1">
      <alignment horizontal="center"/>
    </xf>
    <xf numFmtId="0" fontId="0" fillId="0" borderId="0" xfId="0" quotePrefix="1" applyAlignment="1">
      <alignment wrapText="1"/>
    </xf>
    <xf numFmtId="167" fontId="0" fillId="0" borderId="14" xfId="0" applyNumberFormat="1" applyBorder="1"/>
    <xf numFmtId="167" fontId="0" fillId="0" borderId="15" xfId="0" applyNumberFormat="1" applyBorder="1"/>
    <xf numFmtId="2" fontId="0" fillId="0" borderId="7" xfId="0" applyNumberFormat="1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1" fontId="0" fillId="3" borderId="11" xfId="0" applyNumberFormat="1" applyFill="1" applyBorder="1" applyAlignment="1">
      <alignment horizontal="left"/>
    </xf>
    <xf numFmtId="1" fontId="0" fillId="2" borderId="11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0" fontId="0" fillId="2" borderId="8" xfId="0" applyNumberFormat="1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10" fontId="0" fillId="2" borderId="11" xfId="0" applyNumberFormat="1" applyFill="1" applyBorder="1" applyAlignment="1" applyProtection="1">
      <alignment horizontal="right"/>
      <protection locked="0"/>
    </xf>
    <xf numFmtId="168" fontId="0" fillId="0" borderId="10" xfId="0" applyNumberFormat="1" applyBorder="1"/>
    <xf numFmtId="165" fontId="0" fillId="0" borderId="10" xfId="0" applyNumberFormat="1" applyBorder="1"/>
    <xf numFmtId="165" fontId="0" fillId="0" borderId="8" xfId="0" applyNumberFormat="1" applyBorder="1"/>
    <xf numFmtId="166" fontId="0" fillId="0" borderId="8" xfId="0" applyNumberFormat="1" applyBorder="1"/>
    <xf numFmtId="2" fontId="0" fillId="0" borderId="10" xfId="0" applyNumberFormat="1" applyBorder="1"/>
    <xf numFmtId="166" fontId="0" fillId="0" borderId="10" xfId="0" applyNumberFormat="1" applyBorder="1"/>
    <xf numFmtId="165" fontId="0" fillId="0" borderId="7" xfId="0" applyNumberFormat="1" applyBorder="1"/>
    <xf numFmtId="165" fontId="0" fillId="0" borderId="0" xfId="0" applyNumberFormat="1"/>
    <xf numFmtId="165" fontId="0" fillId="0" borderId="17" xfId="0" applyNumberFormat="1" applyBorder="1" applyAlignment="1">
      <alignment horizontal="center"/>
    </xf>
    <xf numFmtId="0" fontId="6" fillId="0" borderId="0" xfId="0" applyFont="1"/>
    <xf numFmtId="0" fontId="6" fillId="4" borderId="0" xfId="0" applyFont="1" applyFill="1"/>
    <xf numFmtId="0" fontId="0" fillId="4" borderId="0" xfId="0" applyFill="1"/>
    <xf numFmtId="0" fontId="6" fillId="4" borderId="0" xfId="0" applyFont="1" applyFill="1" applyBorder="1"/>
    <xf numFmtId="16" fontId="0" fillId="4" borderId="0" xfId="0" applyNumberFormat="1" applyFill="1"/>
    <xf numFmtId="0" fontId="0" fillId="4" borderId="0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2">
    <dxf>
      <fill>
        <patternFill>
          <bgColor indexed="23"/>
        </patternFill>
      </fill>
    </dxf>
    <dxf>
      <fill>
        <patternFill>
          <bgColor indexed="42"/>
        </patternFill>
      </fill>
    </dxf>
    <dxf>
      <fill>
        <patternFill>
          <bgColor indexed="23"/>
        </patternFill>
      </fill>
    </dxf>
    <dxf>
      <fill>
        <patternFill>
          <bgColor indexed="42"/>
        </patternFill>
      </fill>
    </dxf>
    <dxf>
      <fill>
        <patternFill>
          <bgColor indexed="23"/>
        </patternFill>
      </fill>
    </dxf>
    <dxf>
      <fill>
        <patternFill>
          <bgColor indexed="42"/>
        </patternFill>
      </fill>
    </dxf>
    <dxf>
      <fill>
        <patternFill>
          <bgColor indexed="23"/>
        </patternFill>
      </fill>
    </dxf>
    <dxf>
      <fill>
        <patternFill>
          <bgColor indexed="42"/>
        </patternFill>
      </fill>
    </dxf>
    <dxf>
      <fill>
        <patternFill>
          <bgColor indexed="23"/>
        </patternFill>
      </fill>
    </dxf>
    <dxf>
      <fill>
        <patternFill>
          <bgColor indexed="42"/>
        </patternFill>
      </fill>
    </dxf>
    <dxf>
      <fill>
        <patternFill>
          <bgColor indexed="23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46C7F-8A92-428B-BCDB-50CEFF4BAE46}">
  <dimension ref="A1:K37"/>
  <sheetViews>
    <sheetView tabSelected="1" workbookViewId="0">
      <selection activeCell="N10" sqref="N10"/>
    </sheetView>
  </sheetViews>
  <sheetFormatPr defaultRowHeight="12.75" x14ac:dyDescent="0.2"/>
  <cols>
    <col min="1" max="1" width="16.140625" customWidth="1"/>
    <col min="2" max="3" width="11.5703125" customWidth="1"/>
    <col min="4" max="4" width="27.140625" customWidth="1"/>
    <col min="5" max="5" width="10.7109375" customWidth="1"/>
    <col min="8" max="9" width="12.140625" customWidth="1"/>
    <col min="10" max="10" width="12" customWidth="1"/>
  </cols>
  <sheetData>
    <row r="1" spans="1:11" x14ac:dyDescent="0.2">
      <c r="A1" s="1" t="s">
        <v>13</v>
      </c>
      <c r="B1" s="1"/>
      <c r="D1" s="11" t="s">
        <v>32</v>
      </c>
      <c r="H1" t="s">
        <v>14</v>
      </c>
    </row>
    <row r="2" spans="1:11" x14ac:dyDescent="0.2">
      <c r="A2" t="s">
        <v>21</v>
      </c>
      <c r="C2" s="40" t="s">
        <v>22</v>
      </c>
    </row>
    <row r="3" spans="1:11" x14ac:dyDescent="0.2">
      <c r="B3" s="9" t="s">
        <v>25</v>
      </c>
      <c r="C3">
        <f>IF(C2="E",15,127)</f>
        <v>15</v>
      </c>
      <c r="H3" s="53" t="s">
        <v>59</v>
      </c>
      <c r="I3" s="52" t="s">
        <v>72</v>
      </c>
      <c r="J3" s="53"/>
      <c r="K3" s="53"/>
    </row>
    <row r="4" spans="1:11" ht="12.75" customHeight="1" x14ac:dyDescent="0.2">
      <c r="B4" s="9" t="s">
        <v>26</v>
      </c>
      <c r="C4">
        <f>IF(C2="E",5729.58,1)</f>
        <v>5729.58</v>
      </c>
      <c r="H4" s="53" t="s">
        <v>17</v>
      </c>
      <c r="I4" s="53"/>
      <c r="J4" s="53" t="s">
        <v>18</v>
      </c>
      <c r="K4" s="53"/>
    </row>
    <row r="5" spans="1:11" ht="13.5" thickBot="1" x14ac:dyDescent="0.25">
      <c r="H5" s="57" t="s">
        <v>16</v>
      </c>
      <c r="I5" s="57" t="s">
        <v>15</v>
      </c>
      <c r="J5" s="57" t="s">
        <v>19</v>
      </c>
    </row>
    <row r="6" spans="1:11" ht="13.5" thickBot="1" x14ac:dyDescent="0.25">
      <c r="A6" s="13" t="s">
        <v>10</v>
      </c>
      <c r="B6" s="37">
        <v>3500</v>
      </c>
      <c r="C6" s="13" t="s">
        <v>12</v>
      </c>
      <c r="D6" s="23">
        <f>IF(B6&lt;B11,"ERROR - Min Radius",B28)</f>
        <v>3.9209021919879058E-2</v>
      </c>
      <c r="F6" s="12"/>
      <c r="H6" s="58"/>
      <c r="I6" s="58"/>
      <c r="J6" s="58"/>
    </row>
    <row r="7" spans="1:11" ht="13.5" thickBot="1" x14ac:dyDescent="0.25">
      <c r="H7" s="3">
        <v>15</v>
      </c>
      <c r="I7" s="3">
        <v>15</v>
      </c>
      <c r="J7" s="6">
        <v>0.32</v>
      </c>
    </row>
    <row r="8" spans="1:11" x14ac:dyDescent="0.2">
      <c r="A8" s="14" t="s">
        <v>58</v>
      </c>
      <c r="B8" s="38">
        <v>60</v>
      </c>
      <c r="C8" s="14" t="s">
        <v>2</v>
      </c>
      <c r="D8" s="39">
        <v>0.06</v>
      </c>
      <c r="H8" s="4">
        <v>20</v>
      </c>
      <c r="I8" s="4">
        <v>20</v>
      </c>
      <c r="J8" s="7">
        <v>0.27</v>
      </c>
    </row>
    <row r="9" spans="1:11" ht="13.5" thickBot="1" x14ac:dyDescent="0.25">
      <c r="A9" s="15" t="s">
        <v>0</v>
      </c>
      <c r="B9" s="16">
        <f>VLOOKUP(B8,IF(C2="E",H7:J20,H26:J37),2)</f>
        <v>52</v>
      </c>
      <c r="C9" s="15" t="s">
        <v>11</v>
      </c>
      <c r="D9" s="32">
        <f>VLOOKUP(B8,IF(C2="E",H7:J20,H26:J37),3)</f>
        <v>0.12</v>
      </c>
      <c r="H9" s="4">
        <v>25</v>
      </c>
      <c r="I9" s="4">
        <v>24</v>
      </c>
      <c r="J9" s="7">
        <v>0.23</v>
      </c>
    </row>
    <row r="10" spans="1:11" ht="13.5" thickBot="1" x14ac:dyDescent="0.25">
      <c r="H10" s="4">
        <v>30</v>
      </c>
      <c r="I10" s="4">
        <v>28</v>
      </c>
      <c r="J10" s="7">
        <v>0.2</v>
      </c>
    </row>
    <row r="11" spans="1:11" x14ac:dyDescent="0.2">
      <c r="A11" s="14" t="s">
        <v>1</v>
      </c>
      <c r="B11" s="45">
        <f>$B$8^2/(C3*($D$8+$D$9))</f>
        <v>1333.3333333333335</v>
      </c>
      <c r="D11" t="s">
        <v>20</v>
      </c>
      <c r="E11" s="52" t="s">
        <v>64</v>
      </c>
      <c r="F11" s="53"/>
      <c r="G11" s="53"/>
      <c r="H11" s="4">
        <v>35</v>
      </c>
      <c r="I11" s="4">
        <v>32</v>
      </c>
      <c r="J11" s="7">
        <v>0.18</v>
      </c>
    </row>
    <row r="12" spans="1:11" x14ac:dyDescent="0.2">
      <c r="A12" s="18" t="s">
        <v>3</v>
      </c>
      <c r="B12" s="47">
        <f>$B$9^2/(C3*$D$8)</f>
        <v>3004.4444444444448</v>
      </c>
      <c r="D12" t="s">
        <v>24</v>
      </c>
      <c r="E12" s="52" t="s">
        <v>63</v>
      </c>
      <c r="F12" s="53"/>
      <c r="G12" s="53"/>
      <c r="H12" s="4">
        <v>40</v>
      </c>
      <c r="I12" s="4">
        <v>36</v>
      </c>
      <c r="J12" s="7">
        <v>0.16</v>
      </c>
    </row>
    <row r="13" spans="1:11" x14ac:dyDescent="0.2">
      <c r="A13" s="18" t="s">
        <v>4</v>
      </c>
      <c r="B13" s="19">
        <f>(($D$8*$B$8^2)/$B$9^2)-$D$8</f>
        <v>1.9881656804733736E-2</v>
      </c>
      <c r="D13" t="s">
        <v>23</v>
      </c>
      <c r="E13" s="52" t="s">
        <v>65</v>
      </c>
      <c r="F13" s="53"/>
      <c r="G13" s="53"/>
      <c r="H13" s="4">
        <v>45</v>
      </c>
      <c r="I13" s="4">
        <v>40</v>
      </c>
      <c r="J13" s="7">
        <v>0.15</v>
      </c>
    </row>
    <row r="14" spans="1:11" x14ac:dyDescent="0.2">
      <c r="A14" s="18" t="s">
        <v>5</v>
      </c>
      <c r="B14" s="19">
        <f>($B$13*$B$12)/C4</f>
        <v>1.0425429670819391E-2</v>
      </c>
      <c r="D14" t="s">
        <v>28</v>
      </c>
      <c r="E14" s="54" t="s">
        <v>66</v>
      </c>
      <c r="F14" s="53"/>
      <c r="G14" s="53"/>
      <c r="H14" s="4">
        <v>50</v>
      </c>
      <c r="I14" s="4">
        <v>44</v>
      </c>
      <c r="J14" s="7">
        <v>0.14000000000000001</v>
      </c>
    </row>
    <row r="15" spans="1:11" x14ac:dyDescent="0.2">
      <c r="A15" s="18" t="s">
        <v>6</v>
      </c>
      <c r="B15" s="19">
        <f>($D$9-$B$13)/(C4*($B$11^-1-$B$12^-1))</f>
        <v>4.1887887070256459E-2</v>
      </c>
      <c r="D15" t="s">
        <v>27</v>
      </c>
      <c r="E15" s="54" t="s">
        <v>67</v>
      </c>
      <c r="F15" s="53"/>
      <c r="G15" s="53"/>
      <c r="H15" s="4">
        <v>55</v>
      </c>
      <c r="I15" s="4">
        <v>48</v>
      </c>
      <c r="J15" s="7">
        <v>0.13</v>
      </c>
    </row>
    <row r="16" spans="1:11" x14ac:dyDescent="0.2">
      <c r="A16" s="18" t="s">
        <v>8</v>
      </c>
      <c r="B16" s="19">
        <f>C4/$B$12</f>
        <v>1.9070347633136093</v>
      </c>
      <c r="D16" t="s">
        <v>30</v>
      </c>
      <c r="E16" s="54" t="s">
        <v>68</v>
      </c>
      <c r="F16" s="53"/>
      <c r="G16" s="53"/>
      <c r="H16" s="4">
        <v>60</v>
      </c>
      <c r="I16" s="4">
        <v>52</v>
      </c>
      <c r="J16" s="7">
        <v>0.12</v>
      </c>
    </row>
    <row r="17" spans="1:11" x14ac:dyDescent="0.2">
      <c r="A17" s="18" t="s">
        <v>9</v>
      </c>
      <c r="B17" s="19">
        <f>C4*($B$11^-1-$B$12^-1)</f>
        <v>2.3901502366863903</v>
      </c>
      <c r="D17" t="s">
        <v>30</v>
      </c>
      <c r="E17" s="54" t="s">
        <v>69</v>
      </c>
      <c r="F17" s="55"/>
      <c r="G17" s="53"/>
      <c r="H17" s="4">
        <v>65</v>
      </c>
      <c r="I17" s="4">
        <v>55</v>
      </c>
      <c r="J17" s="7">
        <v>0.11</v>
      </c>
    </row>
    <row r="18" spans="1:11" ht="13.5" thickBot="1" x14ac:dyDescent="0.25">
      <c r="A18" s="15" t="s">
        <v>7</v>
      </c>
      <c r="B18" s="20">
        <f>($B$16*$B$17*($B$15-$B$14))/(2*($B$16+$B$17))</f>
        <v>1.6686390532544372E-2</v>
      </c>
      <c r="D18" t="s">
        <v>29</v>
      </c>
      <c r="E18" s="54" t="s">
        <v>70</v>
      </c>
      <c r="F18" s="53"/>
      <c r="G18" s="53"/>
      <c r="H18" s="4">
        <v>70</v>
      </c>
      <c r="I18" s="4">
        <v>58</v>
      </c>
      <c r="J18" s="7">
        <v>0.1</v>
      </c>
    </row>
    <row r="19" spans="1:11" ht="13.5" thickBot="1" x14ac:dyDescent="0.25">
      <c r="H19" s="4">
        <v>75</v>
      </c>
      <c r="I19" s="4">
        <v>61</v>
      </c>
      <c r="J19" s="7">
        <v>0.09</v>
      </c>
    </row>
    <row r="20" spans="1:11" ht="15.75" customHeight="1" x14ac:dyDescent="0.2">
      <c r="A20" s="14" t="s">
        <v>31</v>
      </c>
      <c r="B20" s="17">
        <f>1/B24</f>
        <v>2.8571428571428574E-4</v>
      </c>
      <c r="H20" s="5">
        <v>80</v>
      </c>
      <c r="I20" s="5">
        <v>64</v>
      </c>
      <c r="J20" s="8">
        <v>0.08</v>
      </c>
    </row>
    <row r="21" spans="1:11" ht="15.75" x14ac:dyDescent="0.3">
      <c r="A21" s="18" t="s">
        <v>42</v>
      </c>
      <c r="B21" s="19">
        <f>1/B11</f>
        <v>7.4999999999999991E-4</v>
      </c>
    </row>
    <row r="22" spans="1:11" ht="16.5" thickBot="1" x14ac:dyDescent="0.35">
      <c r="A22" s="15" t="s">
        <v>41</v>
      </c>
      <c r="B22" s="20">
        <f>1/B12</f>
        <v>3.3284023668639048E-4</v>
      </c>
      <c r="H22" s="53" t="s">
        <v>60</v>
      </c>
      <c r="I22" s="52" t="s">
        <v>72</v>
      </c>
      <c r="J22" s="53"/>
      <c r="K22" s="53"/>
    </row>
    <row r="23" spans="1:11" ht="13.5" thickBot="1" x14ac:dyDescent="0.25">
      <c r="H23" s="53" t="s">
        <v>17</v>
      </c>
      <c r="I23" s="53"/>
      <c r="J23" s="53" t="s">
        <v>18</v>
      </c>
      <c r="K23" s="53"/>
    </row>
    <row r="24" spans="1:11" x14ac:dyDescent="0.2">
      <c r="A24" s="14" t="s">
        <v>10</v>
      </c>
      <c r="B24" s="45">
        <f>B6</f>
        <v>3500</v>
      </c>
      <c r="H24" s="59" t="s">
        <v>16</v>
      </c>
      <c r="I24" s="59" t="s">
        <v>15</v>
      </c>
      <c r="J24" s="59" t="s">
        <v>19</v>
      </c>
    </row>
    <row r="25" spans="1:11" ht="15.75" x14ac:dyDescent="0.3">
      <c r="A25" s="18" t="s">
        <v>34</v>
      </c>
      <c r="B25" s="42">
        <f>(D8+D9)*B11/B24</f>
        <v>6.8571428571428575E-2</v>
      </c>
      <c r="D25" t="s">
        <v>33</v>
      </c>
      <c r="E25" s="52" t="s">
        <v>73</v>
      </c>
      <c r="F25" s="53"/>
      <c r="G25" s="53"/>
      <c r="H25" s="59"/>
      <c r="I25" s="59"/>
      <c r="J25" s="59"/>
    </row>
    <row r="26" spans="1:11" ht="15.75" x14ac:dyDescent="0.3">
      <c r="A26" s="18" t="s">
        <v>36</v>
      </c>
      <c r="B26" s="42">
        <f>B18*(B12/B24)^2+C4*B14/B24</f>
        <v>2.9362406651549516E-2</v>
      </c>
      <c r="C26" s="52" t="s">
        <v>75</v>
      </c>
      <c r="D26" t="s">
        <v>39</v>
      </c>
      <c r="E26" t="s">
        <v>40</v>
      </c>
      <c r="G26" s="56"/>
      <c r="H26" s="3">
        <v>20</v>
      </c>
      <c r="I26" s="3">
        <v>20</v>
      </c>
      <c r="J26" s="6">
        <v>0.35</v>
      </c>
    </row>
    <row r="27" spans="1:11" ht="15.75" x14ac:dyDescent="0.3">
      <c r="A27" s="18" t="s">
        <v>37</v>
      </c>
      <c r="B27" s="42">
        <f>B18*((B21-B20)/(B21-B22))^2+B13+C4*B15*(B20-B22)</f>
        <v>2.924084527427994E-2</v>
      </c>
      <c r="C27" s="52" t="s">
        <v>76</v>
      </c>
      <c r="D27" t="s">
        <v>38</v>
      </c>
      <c r="E27" t="s">
        <v>43</v>
      </c>
      <c r="G27" s="54"/>
      <c r="H27" s="4">
        <v>30</v>
      </c>
      <c r="I27" s="4">
        <v>30</v>
      </c>
      <c r="J27" s="7">
        <v>0.28000000000000003</v>
      </c>
    </row>
    <row r="28" spans="1:11" ht="13.5" thickBot="1" x14ac:dyDescent="0.25">
      <c r="A28" s="15" t="s">
        <v>44</v>
      </c>
      <c r="B28" s="21">
        <f>B25-IF(B20&lt;=B22,B26,B27)</f>
        <v>3.9209021919879058E-2</v>
      </c>
      <c r="H28" s="4">
        <v>40</v>
      </c>
      <c r="I28" s="4">
        <v>40</v>
      </c>
      <c r="J28" s="7">
        <v>0.23</v>
      </c>
    </row>
    <row r="29" spans="1:11" x14ac:dyDescent="0.2">
      <c r="D29" s="52" t="s">
        <v>74</v>
      </c>
      <c r="E29" s="51" t="s">
        <v>71</v>
      </c>
      <c r="H29" s="4">
        <v>50</v>
      </c>
      <c r="I29" s="4">
        <v>47</v>
      </c>
      <c r="J29" s="7">
        <v>0.19</v>
      </c>
    </row>
    <row r="30" spans="1:11" x14ac:dyDescent="0.2">
      <c r="D30" s="52" t="s">
        <v>77</v>
      </c>
      <c r="H30" s="4">
        <v>60</v>
      </c>
      <c r="I30" s="4">
        <v>55</v>
      </c>
      <c r="J30" s="7">
        <v>0.17</v>
      </c>
    </row>
    <row r="31" spans="1:11" x14ac:dyDescent="0.2">
      <c r="H31" s="4">
        <v>70</v>
      </c>
      <c r="I31" s="4">
        <v>63</v>
      </c>
      <c r="J31" s="7">
        <v>0.15</v>
      </c>
    </row>
    <row r="32" spans="1:11" x14ac:dyDescent="0.2">
      <c r="H32" s="4">
        <v>80</v>
      </c>
      <c r="I32" s="4">
        <v>70</v>
      </c>
      <c r="J32" s="7">
        <v>0.14000000000000001</v>
      </c>
    </row>
    <row r="33" spans="8:10" x14ac:dyDescent="0.2">
      <c r="H33" s="4">
        <v>90</v>
      </c>
      <c r="I33" s="4">
        <v>77</v>
      </c>
      <c r="J33" s="7">
        <v>0.13</v>
      </c>
    </row>
    <row r="34" spans="8:10" x14ac:dyDescent="0.2">
      <c r="H34" s="4">
        <v>100</v>
      </c>
      <c r="I34" s="4">
        <v>85</v>
      </c>
      <c r="J34" s="7">
        <v>0.12</v>
      </c>
    </row>
    <row r="35" spans="8:10" x14ac:dyDescent="0.2">
      <c r="H35" s="4">
        <v>110</v>
      </c>
      <c r="I35" s="4">
        <v>91</v>
      </c>
      <c r="J35" s="7">
        <v>0.11</v>
      </c>
    </row>
    <row r="36" spans="8:10" x14ac:dyDescent="0.2">
      <c r="H36" s="4">
        <v>120</v>
      </c>
      <c r="I36" s="4">
        <v>98</v>
      </c>
      <c r="J36" s="7">
        <v>0.09</v>
      </c>
    </row>
    <row r="37" spans="8:10" x14ac:dyDescent="0.2">
      <c r="H37" s="5">
        <v>130</v>
      </c>
      <c r="I37" s="5">
        <v>102</v>
      </c>
      <c r="J37" s="8">
        <v>0.08</v>
      </c>
    </row>
  </sheetData>
  <mergeCells count="6">
    <mergeCell ref="J5:J6"/>
    <mergeCell ref="H24:H25"/>
    <mergeCell ref="I24:I25"/>
    <mergeCell ref="J24:J25"/>
    <mergeCell ref="H5:H6"/>
    <mergeCell ref="I5:I6"/>
  </mergeCells>
  <phoneticPr fontId="2" type="noConversion"/>
  <conditionalFormatting sqref="A26:G26">
    <cfRule type="expression" dxfId="11" priority="1" stopIfTrue="1">
      <formula>$B$20&lt;=$B$22</formula>
    </cfRule>
    <cfRule type="expression" dxfId="10" priority="2" stopIfTrue="1">
      <formula>$B$20&gt;$B$22</formula>
    </cfRule>
  </conditionalFormatting>
  <conditionalFormatting sqref="A27:G27">
    <cfRule type="expression" dxfId="9" priority="3" stopIfTrue="1">
      <formula>$B$20&gt;$B$22</formula>
    </cfRule>
    <cfRule type="expression" dxfId="8" priority="4" stopIfTrue="1">
      <formula>$B$20&lt;=$B$22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0E6D-E044-4DAF-B2CE-5E3138689D98}">
  <dimension ref="A1:J38"/>
  <sheetViews>
    <sheetView workbookViewId="0">
      <selection activeCell="S20" sqref="S20"/>
    </sheetView>
  </sheetViews>
  <sheetFormatPr defaultRowHeight="12.75" x14ac:dyDescent="0.2"/>
  <cols>
    <col min="1" max="1" width="16.140625" customWidth="1"/>
    <col min="2" max="3" width="11.5703125" customWidth="1"/>
    <col min="4" max="4" width="27.140625" customWidth="1"/>
    <col min="5" max="5" width="10.7109375" customWidth="1"/>
    <col min="8" max="9" width="12.140625" customWidth="1"/>
    <col min="10" max="10" width="12" customWidth="1"/>
  </cols>
  <sheetData>
    <row r="1" spans="1:10" x14ac:dyDescent="0.2">
      <c r="A1" s="1" t="s">
        <v>13</v>
      </c>
      <c r="B1" s="1"/>
      <c r="D1" s="11" t="s">
        <v>32</v>
      </c>
      <c r="H1" t="s">
        <v>14</v>
      </c>
    </row>
    <row r="2" spans="1:10" x14ac:dyDescent="0.2">
      <c r="A2" t="s">
        <v>21</v>
      </c>
      <c r="C2" s="40" t="s">
        <v>22</v>
      </c>
    </row>
    <row r="3" spans="1:10" x14ac:dyDescent="0.2">
      <c r="B3" s="9" t="s">
        <v>25</v>
      </c>
      <c r="C3">
        <f>IF(C2="E",15,127)</f>
        <v>15</v>
      </c>
      <c r="H3" t="s">
        <v>59</v>
      </c>
    </row>
    <row r="4" spans="1:10" ht="12.75" customHeight="1" x14ac:dyDescent="0.2">
      <c r="B4" s="9" t="s">
        <v>26</v>
      </c>
      <c r="C4">
        <f>IF(C2="E",5729.58,1)</f>
        <v>5729.58</v>
      </c>
      <c r="H4" t="s">
        <v>17</v>
      </c>
      <c r="J4" t="s">
        <v>18</v>
      </c>
    </row>
    <row r="5" spans="1:10" ht="13.5" thickBot="1" x14ac:dyDescent="0.25">
      <c r="H5" s="59" t="s">
        <v>16</v>
      </c>
      <c r="I5" s="59" t="s">
        <v>15</v>
      </c>
      <c r="J5" s="59" t="s">
        <v>19</v>
      </c>
    </row>
    <row r="6" spans="1:10" ht="13.5" thickBot="1" x14ac:dyDescent="0.25">
      <c r="A6" s="13" t="s">
        <v>12</v>
      </c>
      <c r="B6" s="41">
        <v>2.7799999999999998E-2</v>
      </c>
      <c r="C6" s="13" t="s">
        <v>10</v>
      </c>
      <c r="D6" s="36">
        <f>IF(B6&lt;=D8,B23,"Error - exceeds e max")</f>
        <v>7104.1307561504163</v>
      </c>
      <c r="H6" s="59"/>
      <c r="I6" s="59"/>
      <c r="J6" s="59"/>
    </row>
    <row r="7" spans="1:10" ht="13.5" thickBot="1" x14ac:dyDescent="0.25">
      <c r="H7" s="3">
        <v>15</v>
      </c>
      <c r="I7" s="3">
        <v>15</v>
      </c>
      <c r="J7" s="6">
        <v>0.32</v>
      </c>
    </row>
    <row r="8" spans="1:10" x14ac:dyDescent="0.2">
      <c r="A8" s="14" t="s">
        <v>58</v>
      </c>
      <c r="B8" s="38">
        <v>70</v>
      </c>
      <c r="C8" s="14" t="s">
        <v>2</v>
      </c>
      <c r="D8" s="39">
        <v>0.06</v>
      </c>
      <c r="H8" s="4">
        <v>20</v>
      </c>
      <c r="I8" s="4">
        <v>20</v>
      </c>
      <c r="J8" s="7">
        <v>0.27</v>
      </c>
    </row>
    <row r="9" spans="1:10" ht="13.5" thickBot="1" x14ac:dyDescent="0.25">
      <c r="A9" s="15" t="s">
        <v>0</v>
      </c>
      <c r="B9" s="16">
        <f>VLOOKUP(B8,IF(C2="E",H7:J20,H26:J37),2)</f>
        <v>58</v>
      </c>
      <c r="C9" s="15" t="s">
        <v>11</v>
      </c>
      <c r="D9" s="32">
        <f>VLOOKUP(B8,IF(C2="E",H7:J20,H26:J37),3)</f>
        <v>0.1</v>
      </c>
      <c r="H9" s="4">
        <v>25</v>
      </c>
      <c r="I9" s="4">
        <v>24</v>
      </c>
      <c r="J9" s="7">
        <v>0.23</v>
      </c>
    </row>
    <row r="10" spans="1:10" ht="13.5" thickBot="1" x14ac:dyDescent="0.25">
      <c r="D10" s="22"/>
      <c r="F10" s="12"/>
      <c r="H10" s="4">
        <v>30</v>
      </c>
      <c r="I10" s="4">
        <v>28</v>
      </c>
      <c r="J10" s="7">
        <v>0.2</v>
      </c>
    </row>
    <row r="11" spans="1:10" x14ac:dyDescent="0.2">
      <c r="A11" s="14" t="s">
        <v>1</v>
      </c>
      <c r="B11" s="45">
        <f>$B$8^2/(C3*($D$8+$D$9))</f>
        <v>2041.6666666666667</v>
      </c>
      <c r="D11" t="s">
        <v>20</v>
      </c>
      <c r="H11" s="4">
        <v>35</v>
      </c>
      <c r="I11" s="4">
        <v>32</v>
      </c>
      <c r="J11" s="7">
        <v>0.18</v>
      </c>
    </row>
    <row r="12" spans="1:10" x14ac:dyDescent="0.2">
      <c r="A12" s="18" t="s">
        <v>3</v>
      </c>
      <c r="B12" s="47">
        <f>$B$9^2/(C3*$D$8)</f>
        <v>3737.7777777777783</v>
      </c>
      <c r="D12" t="s">
        <v>24</v>
      </c>
      <c r="H12" s="4">
        <v>40</v>
      </c>
      <c r="I12" s="4">
        <v>36</v>
      </c>
      <c r="J12" s="7">
        <v>0.16</v>
      </c>
    </row>
    <row r="13" spans="1:10" x14ac:dyDescent="0.2">
      <c r="A13" s="18" t="s">
        <v>4</v>
      </c>
      <c r="B13" s="19">
        <f>(($D$8*$B$8^2)/$B$9^2)-$D$8</f>
        <v>2.7395957193816892E-2</v>
      </c>
      <c r="D13" t="s">
        <v>23</v>
      </c>
      <c r="H13" s="4">
        <v>45</v>
      </c>
      <c r="I13" s="4">
        <v>40</v>
      </c>
      <c r="J13" s="7">
        <v>0.15</v>
      </c>
    </row>
    <row r="14" spans="1:10" x14ac:dyDescent="0.2">
      <c r="A14" s="18" t="s">
        <v>5</v>
      </c>
      <c r="B14" s="19">
        <f>($B$13*$B$12)/C4</f>
        <v>1.7872165149976096E-2</v>
      </c>
      <c r="D14" t="s">
        <v>28</v>
      </c>
      <c r="H14" s="4">
        <v>50</v>
      </c>
      <c r="I14" s="4">
        <v>44</v>
      </c>
      <c r="J14" s="7">
        <v>0.14000000000000001</v>
      </c>
    </row>
    <row r="15" spans="1:10" x14ac:dyDescent="0.2">
      <c r="A15" s="18" t="s">
        <v>6</v>
      </c>
      <c r="B15" s="19">
        <f>($D$9-$B$13)/(C4*($B$11^-1-$B$12^-1))</f>
        <v>5.7014068512293521E-2</v>
      </c>
      <c r="D15" t="s">
        <v>27</v>
      </c>
      <c r="H15" s="4">
        <v>55</v>
      </c>
      <c r="I15" s="4">
        <v>48</v>
      </c>
      <c r="J15" s="7">
        <v>0.13</v>
      </c>
    </row>
    <row r="16" spans="1:10" x14ac:dyDescent="0.2">
      <c r="A16" s="18" t="s">
        <v>8</v>
      </c>
      <c r="B16" s="19">
        <f>C4/$B$12</f>
        <v>1.5328840665873957</v>
      </c>
      <c r="D16" t="s">
        <v>30</v>
      </c>
      <c r="H16" s="4">
        <v>60</v>
      </c>
      <c r="I16" s="4">
        <v>52</v>
      </c>
      <c r="J16" s="7">
        <v>0.12</v>
      </c>
    </row>
    <row r="17" spans="1:10" x14ac:dyDescent="0.2">
      <c r="A17" s="18" t="s">
        <v>9</v>
      </c>
      <c r="B17" s="19">
        <f>C4*($B$11^-1-$B$12^-1)</f>
        <v>1.2734408313717875</v>
      </c>
      <c r="D17" t="s">
        <v>30</v>
      </c>
      <c r="F17" s="10"/>
      <c r="H17" s="4">
        <v>65</v>
      </c>
      <c r="I17" s="4">
        <v>55</v>
      </c>
      <c r="J17" s="7">
        <v>0.11</v>
      </c>
    </row>
    <row r="18" spans="1:10" ht="13.5" thickBot="1" x14ac:dyDescent="0.25">
      <c r="A18" s="15" t="s">
        <v>7</v>
      </c>
      <c r="B18" s="20">
        <f>($B$16*$B$17*($B$15-$B$14))/(2*($B$16+$B$17))</f>
        <v>1.3613258026159331E-2</v>
      </c>
      <c r="D18" t="s">
        <v>29</v>
      </c>
      <c r="H18" s="4">
        <v>70</v>
      </c>
      <c r="I18" s="4">
        <v>58</v>
      </c>
      <c r="J18" s="7">
        <v>0.1</v>
      </c>
    </row>
    <row r="19" spans="1:10" x14ac:dyDescent="0.2">
      <c r="H19" s="4">
        <v>75</v>
      </c>
      <c r="I19" s="4">
        <v>61</v>
      </c>
      <c r="J19" s="7">
        <v>0.09</v>
      </c>
    </row>
    <row r="20" spans="1:10" ht="15.75" x14ac:dyDescent="0.3">
      <c r="A20" s="26" t="s">
        <v>42</v>
      </c>
      <c r="B20" s="30">
        <f>1/B11</f>
        <v>4.8979591836734691E-4</v>
      </c>
      <c r="H20" s="5">
        <v>80</v>
      </c>
      <c r="I20" s="5">
        <v>64</v>
      </c>
      <c r="J20" s="8">
        <v>0.08</v>
      </c>
    </row>
    <row r="21" spans="1:10" ht="16.5" thickBot="1" x14ac:dyDescent="0.35">
      <c r="A21" s="27" t="s">
        <v>41</v>
      </c>
      <c r="B21" s="31">
        <f>1/B12</f>
        <v>2.67538644470868E-4</v>
      </c>
    </row>
    <row r="22" spans="1:10" ht="16.5" customHeight="1" thickBot="1" x14ac:dyDescent="0.25">
      <c r="H22" t="s">
        <v>60</v>
      </c>
    </row>
    <row r="23" spans="1:10" ht="13.5" thickBot="1" x14ac:dyDescent="0.25">
      <c r="A23" s="14" t="s">
        <v>10</v>
      </c>
      <c r="B23" s="45">
        <f>IF(ISERROR(C25),B26,IF(ISERROR(C26),B25,IF(C26&gt;B21,B26,B25)))</f>
        <v>7104.1307561504163</v>
      </c>
      <c r="H23" t="s">
        <v>17</v>
      </c>
      <c r="J23" t="s">
        <v>18</v>
      </c>
    </row>
    <row r="24" spans="1:10" ht="15.75" x14ac:dyDescent="0.3">
      <c r="A24" s="18" t="s">
        <v>35</v>
      </c>
      <c r="B24" s="43">
        <f>(D8+D9)*B11</f>
        <v>326.66666666666669</v>
      </c>
      <c r="C24" s="33" t="s">
        <v>31</v>
      </c>
      <c r="D24" t="s">
        <v>33</v>
      </c>
      <c r="E24" s="25" t="s">
        <v>45</v>
      </c>
      <c r="H24" s="59" t="s">
        <v>16</v>
      </c>
      <c r="I24" s="59" t="s">
        <v>15</v>
      </c>
      <c r="J24" s="59" t="s">
        <v>19</v>
      </c>
    </row>
    <row r="25" spans="1:10" ht="15.75" x14ac:dyDescent="0.3">
      <c r="A25" s="18" t="s">
        <v>46</v>
      </c>
      <c r="B25" s="46">
        <f>MAX((-B31+SQRT(B31^2-4*B30*B32))/(2*B30),(-B31-SQRT(B31^2-4*B30*B32))/(2*B30))</f>
        <v>7104.1307561504163</v>
      </c>
      <c r="C25" s="42">
        <f>1/B25</f>
        <v>1.4076317488022697E-4</v>
      </c>
      <c r="D25" t="s">
        <v>39</v>
      </c>
      <c r="E25" t="s">
        <v>40</v>
      </c>
      <c r="H25" s="59"/>
      <c r="I25" s="59"/>
      <c r="J25" s="59"/>
    </row>
    <row r="26" spans="1:10" ht="15.75" x14ac:dyDescent="0.3">
      <c r="A26" s="18" t="s">
        <v>47</v>
      </c>
      <c r="B26" s="46">
        <f>MAX((-B36+SQRT(B36^2-4*B35*B37))/(2*B35),(-B36-SQRT(B36^2-4*B35*B37))/(2*B35))</f>
        <v>6758.0508577461387</v>
      </c>
      <c r="C26" s="42">
        <f>1/B26</f>
        <v>1.4797165943990952E-4</v>
      </c>
      <c r="D26" t="s">
        <v>38</v>
      </c>
      <c r="E26" t="s">
        <v>43</v>
      </c>
      <c r="H26" s="3">
        <v>20</v>
      </c>
      <c r="I26" s="3">
        <v>20</v>
      </c>
      <c r="J26" s="6">
        <v>0.35</v>
      </c>
    </row>
    <row r="27" spans="1:10" ht="13.5" thickBot="1" x14ac:dyDescent="0.25">
      <c r="A27" s="15" t="s">
        <v>44</v>
      </c>
      <c r="B27" s="24">
        <f>IF(B6=D8,B6-0.000001,B6)</f>
        <v>2.7799999999999998E-2</v>
      </c>
      <c r="H27" s="4">
        <v>30</v>
      </c>
      <c r="I27" s="4">
        <v>30</v>
      </c>
      <c r="J27" s="7">
        <v>0.28000000000000003</v>
      </c>
    </row>
    <row r="28" spans="1:10" ht="13.5" thickBot="1" x14ac:dyDescent="0.25">
      <c r="H28" s="4">
        <v>40</v>
      </c>
      <c r="I28" s="4">
        <v>40</v>
      </c>
      <c r="J28" s="7">
        <v>0.23</v>
      </c>
    </row>
    <row r="29" spans="1:10" ht="16.5" thickBot="1" x14ac:dyDescent="0.35">
      <c r="A29" t="s">
        <v>48</v>
      </c>
      <c r="B29" s="28" t="s">
        <v>36</v>
      </c>
      <c r="H29" s="4">
        <v>50</v>
      </c>
      <c r="I29" s="4">
        <v>47</v>
      </c>
      <c r="J29" s="7">
        <v>0.19</v>
      </c>
    </row>
    <row r="30" spans="1:10" x14ac:dyDescent="0.2">
      <c r="A30" s="14" t="s">
        <v>49</v>
      </c>
      <c r="B30" s="44">
        <f>B27</f>
        <v>2.7799999999999998E-2</v>
      </c>
      <c r="D30" s="25" t="s">
        <v>62</v>
      </c>
      <c r="H30" s="4">
        <v>60</v>
      </c>
      <c r="I30" s="4">
        <v>55</v>
      </c>
      <c r="J30" s="7">
        <v>0.17</v>
      </c>
    </row>
    <row r="31" spans="1:10" ht="15.75" x14ac:dyDescent="0.3">
      <c r="A31" s="18" t="s">
        <v>50</v>
      </c>
      <c r="B31" s="43">
        <f>C4*B14-B24</f>
        <v>-224.26666666666665</v>
      </c>
      <c r="D31" s="25" t="s">
        <v>52</v>
      </c>
      <c r="H31" s="4">
        <v>70</v>
      </c>
      <c r="I31" s="4">
        <v>63</v>
      </c>
      <c r="J31" s="7">
        <v>0.15</v>
      </c>
    </row>
    <row r="32" spans="1:10" ht="16.5" thickBot="1" x14ac:dyDescent="0.35">
      <c r="A32" s="15" t="s">
        <v>51</v>
      </c>
      <c r="B32" s="48">
        <f>B18*B12^2</f>
        <v>190190.59259259261</v>
      </c>
      <c r="D32" s="25" t="s">
        <v>53</v>
      </c>
      <c r="H32" s="4">
        <v>80</v>
      </c>
      <c r="I32" s="4">
        <v>70</v>
      </c>
      <c r="J32" s="7">
        <v>0.14000000000000001</v>
      </c>
    </row>
    <row r="33" spans="1:10" ht="13.5" thickBot="1" x14ac:dyDescent="0.25">
      <c r="B33" s="49"/>
      <c r="H33" s="4">
        <v>90</v>
      </c>
      <c r="I33" s="4">
        <v>77</v>
      </c>
      <c r="J33" s="7">
        <v>0.13</v>
      </c>
    </row>
    <row r="34" spans="1:10" ht="18" customHeight="1" thickBot="1" x14ac:dyDescent="0.35">
      <c r="A34" t="s">
        <v>48</v>
      </c>
      <c r="B34" s="50" t="s">
        <v>37</v>
      </c>
      <c r="D34" s="2"/>
      <c r="E34" s="2"/>
      <c r="F34" s="2"/>
      <c r="H34" s="4">
        <v>100</v>
      </c>
      <c r="I34" s="4">
        <v>85</v>
      </c>
      <c r="J34" s="7">
        <v>0.12</v>
      </c>
    </row>
    <row r="35" spans="1:10" ht="18" customHeight="1" x14ac:dyDescent="0.2">
      <c r="A35" s="14" t="s">
        <v>49</v>
      </c>
      <c r="B35" s="44">
        <f>B13+B38*B20^2-C4*B15*B21+B27</f>
        <v>3.3912020962987212E-2</v>
      </c>
      <c r="D35" s="34" t="s">
        <v>61</v>
      </c>
      <c r="E35" s="34"/>
      <c r="F35" s="35"/>
      <c r="H35" s="4">
        <v>110</v>
      </c>
      <c r="I35" s="4">
        <v>91</v>
      </c>
      <c r="J35" s="7">
        <v>0.11</v>
      </c>
    </row>
    <row r="36" spans="1:10" ht="18" customHeight="1" x14ac:dyDescent="0.2">
      <c r="A36" s="18" t="s">
        <v>50</v>
      </c>
      <c r="B36" s="43">
        <f>-B24-2*B38*B20+C4*B15</f>
        <v>-269.95741893219775</v>
      </c>
      <c r="D36" s="34" t="s">
        <v>57</v>
      </c>
      <c r="E36" s="34"/>
      <c r="F36" s="34"/>
      <c r="H36" s="4">
        <v>120</v>
      </c>
      <c r="I36" s="4">
        <v>98</v>
      </c>
      <c r="J36" s="7">
        <v>0.09</v>
      </c>
    </row>
    <row r="37" spans="1:10" ht="18" customHeight="1" thickBot="1" x14ac:dyDescent="0.25">
      <c r="A37" s="15" t="s">
        <v>51</v>
      </c>
      <c r="B37" s="48">
        <f>B38</f>
        <v>275581.53182661859</v>
      </c>
      <c r="D37" s="29" t="s">
        <v>56</v>
      </c>
      <c r="E37" s="2"/>
      <c r="F37" s="2"/>
      <c r="H37" s="5">
        <v>130</v>
      </c>
      <c r="I37" s="5">
        <v>102</v>
      </c>
      <c r="J37" s="8">
        <v>0.08</v>
      </c>
    </row>
    <row r="38" spans="1:10" ht="29.25" customHeight="1" thickBot="1" x14ac:dyDescent="0.35">
      <c r="A38" s="15" t="s">
        <v>54</v>
      </c>
      <c r="B38" s="48">
        <f>B18/(B20-B21)^2</f>
        <v>275581.53182661859</v>
      </c>
      <c r="D38" s="29" t="s">
        <v>55</v>
      </c>
      <c r="E38" s="2"/>
      <c r="F38" s="2"/>
    </row>
  </sheetData>
  <sheetProtection sheet="1" objects="1" scenarios="1"/>
  <mergeCells count="6">
    <mergeCell ref="J5:J6"/>
    <mergeCell ref="H5:H6"/>
    <mergeCell ref="I5:I6"/>
    <mergeCell ref="H24:H25"/>
    <mergeCell ref="I24:I25"/>
    <mergeCell ref="J24:J25"/>
  </mergeCells>
  <phoneticPr fontId="2" type="noConversion"/>
  <conditionalFormatting sqref="A25:F25">
    <cfRule type="expression" dxfId="7" priority="3" stopIfTrue="1">
      <formula>AND($C$25&lt;=$B$21,$B$25&gt;$B$11)</formula>
    </cfRule>
    <cfRule type="expression" dxfId="6" priority="4" stopIfTrue="1">
      <formula>$C$26&gt;$B$21</formula>
    </cfRule>
  </conditionalFormatting>
  <conditionalFormatting sqref="A26:F26">
    <cfRule type="expression" dxfId="5" priority="1" stopIfTrue="1">
      <formula>AND($C$26&gt;$B$21,$B$26&gt;=$B$11)</formula>
    </cfRule>
    <cfRule type="expression" dxfId="4" priority="2" stopIfTrue="1">
      <formula>$C$25&lt;=$B$21</formula>
    </cfRule>
  </conditionalFormatting>
  <conditionalFormatting sqref="B29">
    <cfRule type="expression" dxfId="3" priority="7" stopIfTrue="1">
      <formula>$C$26&lt;=$B$21</formula>
    </cfRule>
    <cfRule type="expression" dxfId="2" priority="8" stopIfTrue="1">
      <formula>$C$26&gt;$B$21</formula>
    </cfRule>
  </conditionalFormatting>
  <conditionalFormatting sqref="B34">
    <cfRule type="expression" dxfId="1" priority="5" stopIfTrue="1">
      <formula>$C$26&gt;$B$21</formula>
    </cfRule>
    <cfRule type="expression" dxfId="0" priority="6" stopIfTrue="1">
      <formula>$C$25&lt;=$B$21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 e for a given R</vt:lpstr>
      <vt:lpstr>Calc R for a given e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wmayber</dc:creator>
  <cp:lastModifiedBy>Haugen, Tammy</cp:lastModifiedBy>
  <dcterms:created xsi:type="dcterms:W3CDTF">2007-07-19T19:56:37Z</dcterms:created>
  <dcterms:modified xsi:type="dcterms:W3CDTF">2026-04-29T19:40:56Z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MSIP_Label_0faac733-ded1-41e0-8ea6-961193f81247_Enabled">
    <vt:lpwstr>true</vt:lpwstr>
  </property>
  <property fmtid="{D5CDD505-2E9C-101B-9397-08002B2CF9AE}" pid="37" name="MSIP_Label_0faac733-ded1-41e0-8ea6-961193f81247_SetDate">
    <vt:lpwstr>2026-04-29T19:40:56Z</vt:lpwstr>
  </property>
  <property fmtid="{D5CDD505-2E9C-101B-9397-08002B2CF9AE}" pid="38" name="MSIP_Label_0faac733-ded1-41e0-8ea6-961193f81247_Method">
    <vt:lpwstr>Standard</vt:lpwstr>
  </property>
  <property fmtid="{D5CDD505-2E9C-101B-9397-08002B2CF9AE}" pid="39" name="MSIP_Label_0faac733-ded1-41e0-8ea6-961193f81247_Name">
    <vt:lpwstr>defa4170-0d19-0005-0004-bc88714345d2</vt:lpwstr>
  </property>
  <property fmtid="{D5CDD505-2E9C-101B-9397-08002B2CF9AE}" pid="40" name="MSIP_Label_0faac733-ded1-41e0-8ea6-961193f81247_SiteId">
    <vt:lpwstr>a1e65fcc-32fa-4fdd-8692-0cc2eb06676e</vt:lpwstr>
  </property>
  <property fmtid="{D5CDD505-2E9C-101B-9397-08002B2CF9AE}" pid="41" name="MSIP_Label_0faac733-ded1-41e0-8ea6-961193f81247_ActionId">
    <vt:lpwstr>53c46ed0-40d9-40fb-a4b3-fbdc49d43c1e</vt:lpwstr>
  </property>
  <property fmtid="{D5CDD505-2E9C-101B-9397-08002B2CF9AE}" pid="42" name="MSIP_Label_0faac733-ded1-41e0-8ea6-961193f81247_ContentBits">
    <vt:lpwstr>0</vt:lpwstr>
  </property>
</Properties>
</file>