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W:\Highway\LocalSystems\Secondary Roads\HBP Funds\FFY2025\"/>
    </mc:Choice>
  </mc:AlternateContent>
  <xr:revisionPtr revIDLastSave="0" documentId="13_ncr:1_{6EE2200A-85B5-4CEE-9CAA-881F2CD80CF7}" xr6:coauthVersionLast="47" xr6:coauthVersionMax="47" xr10:uidLastSave="{00000000-0000-0000-0000-000000000000}"/>
  <bookViews>
    <workbookView xWindow="675" yWindow="240" windowWidth="27855" windowHeight="15255" tabRatio="667" xr2:uid="{00000000-000D-0000-FFFF-FFFF00000000}"/>
  </bookViews>
  <sheets>
    <sheet name="Worksheet" sheetId="104" r:id="rId1"/>
    <sheet name="Allocations" sheetId="4" r:id="rId2"/>
    <sheet name="Project Final Cost Tracking" sheetId="5" r:id="rId3"/>
    <sheet name="Adair" sheetId="6" r:id="rId4"/>
    <sheet name="Adams" sheetId="7" r:id="rId5"/>
    <sheet name="Allamakee" sheetId="8" r:id="rId6"/>
    <sheet name="Appanoose" sheetId="9" r:id="rId7"/>
    <sheet name="Audubon" sheetId="10" r:id="rId8"/>
    <sheet name="Benton" sheetId="102" r:id="rId9"/>
    <sheet name="Black Hawk" sheetId="101" r:id="rId10"/>
    <sheet name="Boone" sheetId="100" r:id="rId11"/>
    <sheet name="Bremer" sheetId="99" r:id="rId12"/>
    <sheet name="Buchanan" sheetId="98" r:id="rId13"/>
    <sheet name="Buena Vista" sheetId="97" r:id="rId14"/>
    <sheet name="Butler" sheetId="96" r:id="rId15"/>
    <sheet name="Calhoun" sheetId="95" r:id="rId16"/>
    <sheet name="Carroll" sheetId="94" r:id="rId17"/>
    <sheet name="Cass" sheetId="93" r:id="rId18"/>
    <sheet name="Cedar" sheetId="92" r:id="rId19"/>
    <sheet name="Cerro Gordo" sheetId="91" r:id="rId20"/>
    <sheet name="Cherokee" sheetId="90" r:id="rId21"/>
    <sheet name="Chickasaw" sheetId="89" r:id="rId22"/>
    <sheet name="Clarke" sheetId="88" r:id="rId23"/>
    <sheet name="Clay" sheetId="87" r:id="rId24"/>
    <sheet name="Clayton" sheetId="86" r:id="rId25"/>
    <sheet name="Clinton" sheetId="85" r:id="rId26"/>
    <sheet name="Crawford" sheetId="84" r:id="rId27"/>
    <sheet name="Dallas" sheetId="83" r:id="rId28"/>
    <sheet name="Davis" sheetId="82" r:id="rId29"/>
    <sheet name="Decatur" sheetId="81" r:id="rId30"/>
    <sheet name="Delaware" sheetId="80" r:id="rId31"/>
    <sheet name="Des Moines" sheetId="79" r:id="rId32"/>
    <sheet name="Dickinson" sheetId="78" r:id="rId33"/>
    <sheet name="Dubuque" sheetId="77" r:id="rId34"/>
    <sheet name="Emmet" sheetId="76" r:id="rId35"/>
    <sheet name="Fayette" sheetId="75" r:id="rId36"/>
    <sheet name="Floyd" sheetId="74" r:id="rId37"/>
    <sheet name="Franklin" sheetId="73" r:id="rId38"/>
    <sheet name="Fremont" sheetId="72" r:id="rId39"/>
    <sheet name="Greene" sheetId="71" r:id="rId40"/>
    <sheet name="Grundy" sheetId="70" r:id="rId41"/>
    <sheet name="Guthrie" sheetId="69" r:id="rId42"/>
    <sheet name="Hamilton" sheetId="68" r:id="rId43"/>
    <sheet name="Hancock" sheetId="67" r:id="rId44"/>
    <sheet name="Hardin" sheetId="66" r:id="rId45"/>
    <sheet name="Harrison" sheetId="65" r:id="rId46"/>
    <sheet name="Henry" sheetId="64" r:id="rId47"/>
    <sheet name="Howard" sheetId="63" r:id="rId48"/>
    <sheet name="Humboldt" sheetId="62" r:id="rId49"/>
    <sheet name="Ida" sheetId="61" r:id="rId50"/>
    <sheet name="Iowa" sheetId="60" r:id="rId51"/>
    <sheet name="Jackson" sheetId="59" r:id="rId52"/>
    <sheet name="Jasper" sheetId="58" r:id="rId53"/>
    <sheet name="Jefferson" sheetId="106" r:id="rId54"/>
    <sheet name="Johnson" sheetId="57" r:id="rId55"/>
    <sheet name="Jones" sheetId="56" r:id="rId56"/>
    <sheet name="Keokuk" sheetId="55" r:id="rId57"/>
    <sheet name="Kossuth" sheetId="54" r:id="rId58"/>
    <sheet name="Lee" sheetId="53" r:id="rId59"/>
    <sheet name="Linn" sheetId="52" r:id="rId60"/>
    <sheet name="Louisa" sheetId="51" r:id="rId61"/>
    <sheet name="Lucas" sheetId="50" r:id="rId62"/>
    <sheet name="Lyon" sheetId="49" r:id="rId63"/>
    <sheet name="Madison" sheetId="48" r:id="rId64"/>
    <sheet name="Mahaska" sheetId="47" r:id="rId65"/>
    <sheet name="Marion" sheetId="46" r:id="rId66"/>
    <sheet name="Marshall" sheetId="45" r:id="rId67"/>
    <sheet name="Mills" sheetId="44" r:id="rId68"/>
    <sheet name="Mitchell" sheetId="43" r:id="rId69"/>
    <sheet name="Monona" sheetId="42" r:id="rId70"/>
    <sheet name="Monroe" sheetId="41" r:id="rId71"/>
    <sheet name="Montgomery" sheetId="40" r:id="rId72"/>
    <sheet name="Muscatine" sheetId="38" r:id="rId73"/>
    <sheet name="O'Brien" sheetId="39" r:id="rId74"/>
    <sheet name="Osceola" sheetId="37" r:id="rId75"/>
    <sheet name="Page" sheetId="36" r:id="rId76"/>
    <sheet name="Palo Alto" sheetId="35" r:id="rId77"/>
    <sheet name="Plymouth" sheetId="34" r:id="rId78"/>
    <sheet name="Pocahontas" sheetId="33" r:id="rId79"/>
    <sheet name="Polk" sheetId="32" r:id="rId80"/>
    <sheet name="Pottawattamie" sheetId="31" r:id="rId81"/>
    <sheet name="Poweshiek" sheetId="30" r:id="rId82"/>
    <sheet name="Ringgold" sheetId="29" r:id="rId83"/>
    <sheet name="Sac" sheetId="28" r:id="rId84"/>
    <sheet name="Scott" sheetId="27" r:id="rId85"/>
    <sheet name="Shelby" sheetId="26" r:id="rId86"/>
    <sheet name="Sioux" sheetId="25" r:id="rId87"/>
    <sheet name="Story" sheetId="24" r:id="rId88"/>
    <sheet name="Tama" sheetId="23" r:id="rId89"/>
    <sheet name="Taylor" sheetId="22" r:id="rId90"/>
    <sheet name="Union" sheetId="21" r:id="rId91"/>
    <sheet name="Van Buren" sheetId="20" r:id="rId92"/>
    <sheet name="Wapello" sheetId="19" r:id="rId93"/>
    <sheet name="Warren" sheetId="18" r:id="rId94"/>
    <sheet name="Washington" sheetId="17" r:id="rId95"/>
    <sheet name="Wayne" sheetId="105" r:id="rId96"/>
    <sheet name="Webster" sheetId="16" r:id="rId97"/>
    <sheet name="Winnebago" sheetId="15" r:id="rId98"/>
    <sheet name="Winneshiek" sheetId="14" r:id="rId99"/>
    <sheet name="Woodbury" sheetId="13" r:id="rId100"/>
    <sheet name="Worth" sheetId="12" r:id="rId101"/>
    <sheet name="Wright" sheetId="11" r:id="rId102"/>
    <sheet name="Notes" sheetId="107" r:id="rId103"/>
  </sheets>
  <definedNames>
    <definedName name="_xlnm.Print_Area" localSheetId="0">Worksheet!$A$1:$W$104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B95" i="104" l="1"/>
  <c r="BA95" i="104"/>
  <c r="BB93" i="104"/>
  <c r="BA93" i="104"/>
  <c r="BB91" i="104"/>
  <c r="BA91" i="104"/>
  <c r="BB66" i="104"/>
  <c r="BA66" i="104"/>
  <c r="BB40" i="104"/>
  <c r="BA40" i="104"/>
  <c r="D9" i="18"/>
  <c r="D9" i="20"/>
  <c r="D5" i="22"/>
  <c r="F6" i="22"/>
  <c r="H6" i="22"/>
  <c r="J6" i="22"/>
  <c r="F7" i="22"/>
  <c r="H7" i="22"/>
  <c r="J7" i="22"/>
  <c r="F8" i="22"/>
  <c r="H8" i="22"/>
  <c r="J8" i="22"/>
  <c r="F9" i="22"/>
  <c r="H9" i="22"/>
  <c r="J9" i="22"/>
  <c r="F10" i="22"/>
  <c r="H10" i="22"/>
  <c r="J10" i="22"/>
  <c r="F11" i="22"/>
  <c r="H11" i="22"/>
  <c r="J11" i="22"/>
  <c r="F12" i="22"/>
  <c r="H12" i="22"/>
  <c r="J12" i="22"/>
  <c r="F13" i="22"/>
  <c r="H13" i="22"/>
  <c r="J13" i="22"/>
  <c r="F14" i="22"/>
  <c r="H14" i="22"/>
  <c r="J14" i="22"/>
  <c r="F15" i="22"/>
  <c r="H15" i="22"/>
  <c r="J15" i="22"/>
  <c r="F16" i="22"/>
  <c r="H16" i="22"/>
  <c r="J16" i="22"/>
  <c r="F17" i="22"/>
  <c r="H17" i="22"/>
  <c r="J17" i="22"/>
  <c r="F18" i="22"/>
  <c r="H18" i="22"/>
  <c r="J18" i="22"/>
  <c r="F19" i="22"/>
  <c r="H19" i="22"/>
  <c r="J19" i="22"/>
  <c r="F20" i="22"/>
  <c r="H20" i="22"/>
  <c r="J20" i="22"/>
  <c r="D7" i="47"/>
  <c r="D6" i="72"/>
  <c r="AZ37" i="104" l="1"/>
  <c r="AY37" i="104"/>
  <c r="AZ31" i="104"/>
  <c r="AY31" i="104"/>
  <c r="AZ24" i="104"/>
  <c r="AY24" i="104"/>
  <c r="D20" i="75"/>
  <c r="D10" i="81"/>
  <c r="D12" i="88"/>
  <c r="I8" i="13"/>
  <c r="I7" i="13"/>
  <c r="I6" i="49"/>
  <c r="D9" i="12"/>
  <c r="D12" i="19"/>
  <c r="D15" i="28"/>
  <c r="D9" i="66"/>
  <c r="D21" i="102"/>
  <c r="D20" i="102"/>
  <c r="AV96" i="104"/>
  <c r="AU96" i="104"/>
  <c r="AV64" i="104"/>
  <c r="AU64" i="104"/>
  <c r="D9" i="17"/>
  <c r="D9" i="49"/>
  <c r="B9" i="4"/>
  <c r="AN18" i="104"/>
  <c r="AM18" i="104"/>
  <c r="J9" i="94"/>
  <c r="H9" i="94"/>
  <c r="F9" i="94"/>
  <c r="C9" i="94"/>
  <c r="D9" i="94" s="1"/>
  <c r="D6" i="71"/>
  <c r="D5" i="71"/>
  <c r="C6" i="71"/>
  <c r="AT83" i="104"/>
  <c r="AS83" i="104"/>
  <c r="AT80" i="104"/>
  <c r="AS80" i="104"/>
  <c r="AT65" i="104"/>
  <c r="AS65" i="104"/>
  <c r="AT19" i="104"/>
  <c r="AS19" i="104"/>
  <c r="D11" i="30"/>
  <c r="D11" i="48"/>
  <c r="D15" i="93"/>
  <c r="I4" i="72"/>
  <c r="I6" i="36"/>
  <c r="I4" i="106"/>
  <c r="I5" i="53"/>
  <c r="AR92" i="104"/>
  <c r="AQ92" i="104"/>
  <c r="AR65" i="104"/>
  <c r="AQ65" i="104"/>
  <c r="AR57" i="104"/>
  <c r="AQ57" i="104"/>
  <c r="AR53" i="104"/>
  <c r="AQ53" i="104"/>
  <c r="AR34" i="104"/>
  <c r="AQ34" i="104"/>
  <c r="D7" i="21"/>
  <c r="D6" i="21"/>
  <c r="D10" i="48"/>
  <c r="D4" i="56"/>
  <c r="F5" i="56"/>
  <c r="H5" i="56"/>
  <c r="J5" i="56"/>
  <c r="F6" i="56"/>
  <c r="H6" i="56"/>
  <c r="J6" i="56"/>
  <c r="F7" i="56"/>
  <c r="H7" i="56"/>
  <c r="J7" i="56"/>
  <c r="F8" i="56"/>
  <c r="H8" i="56"/>
  <c r="J8" i="56"/>
  <c r="F9" i="56"/>
  <c r="H9" i="56"/>
  <c r="J9" i="56"/>
  <c r="F10" i="56"/>
  <c r="H10" i="56"/>
  <c r="J10" i="56"/>
  <c r="F11" i="56"/>
  <c r="H11" i="56"/>
  <c r="J11" i="56"/>
  <c r="F12" i="56"/>
  <c r="H12" i="56"/>
  <c r="J12" i="56"/>
  <c r="F13" i="56"/>
  <c r="H13" i="56"/>
  <c r="J13" i="56"/>
  <c r="F14" i="56"/>
  <c r="H14" i="56"/>
  <c r="J14" i="56"/>
  <c r="D11" i="59"/>
  <c r="D7" i="78"/>
  <c r="D6" i="78"/>
  <c r="AP68" i="104"/>
  <c r="AO68" i="104"/>
  <c r="AP103" i="104"/>
  <c r="AO103" i="104"/>
  <c r="AP10" i="104"/>
  <c r="AO10" i="104"/>
  <c r="D8" i="11"/>
  <c r="D10" i="45"/>
  <c r="D19" i="102"/>
  <c r="F21" i="102"/>
  <c r="H21" i="102"/>
  <c r="J21" i="102"/>
  <c r="F22" i="102"/>
  <c r="H22" i="102"/>
  <c r="J22" i="102"/>
  <c r="F23" i="102"/>
  <c r="H23" i="102"/>
  <c r="J23" i="102"/>
  <c r="F24" i="102"/>
  <c r="H24" i="102"/>
  <c r="J24" i="102"/>
  <c r="F25" i="102"/>
  <c r="H25" i="102"/>
  <c r="J25" i="102"/>
  <c r="F26" i="102"/>
  <c r="H26" i="102"/>
  <c r="J26" i="102"/>
  <c r="F27" i="102"/>
  <c r="H27" i="102"/>
  <c r="J27" i="102"/>
  <c r="I6" i="32"/>
  <c r="I7" i="30"/>
  <c r="AN103" i="104"/>
  <c r="AM103" i="104"/>
  <c r="AN101" i="104"/>
  <c r="AM101" i="104"/>
  <c r="AN89" i="104"/>
  <c r="AM89" i="104"/>
  <c r="AN50" i="104"/>
  <c r="AM50" i="104"/>
  <c r="AM41" i="104"/>
  <c r="AN17" i="104"/>
  <c r="AM17" i="104"/>
  <c r="D7" i="11"/>
  <c r="D14" i="13"/>
  <c r="D8" i="24"/>
  <c r="D9" i="62"/>
  <c r="D8" i="62"/>
  <c r="AN41" i="104"/>
  <c r="D8" i="94"/>
  <c r="D7" i="94"/>
  <c r="D10" i="95"/>
  <c r="AL101" i="104"/>
  <c r="AK101" i="104"/>
  <c r="AL90" i="104"/>
  <c r="AK90" i="104"/>
  <c r="AL85" i="104"/>
  <c r="AK85" i="104"/>
  <c r="AL70" i="104"/>
  <c r="AK70" i="104"/>
  <c r="AL68" i="104"/>
  <c r="AK68" i="104"/>
  <c r="AL54" i="104"/>
  <c r="AK54" i="104"/>
  <c r="AL45" i="104"/>
  <c r="AK45" i="104"/>
  <c r="AL27" i="104"/>
  <c r="AK27" i="104"/>
  <c r="AL23" i="104"/>
  <c r="AK23" i="104"/>
  <c r="AL22" i="104"/>
  <c r="AK22" i="104"/>
  <c r="AL16" i="104"/>
  <c r="AK16" i="104"/>
  <c r="D19" i="23"/>
  <c r="D18" i="23"/>
  <c r="D14" i="28"/>
  <c r="D8" i="43"/>
  <c r="J17" i="23"/>
  <c r="H17" i="23"/>
  <c r="F17" i="23"/>
  <c r="D17" i="23"/>
  <c r="C17" i="23"/>
  <c r="J16" i="23"/>
  <c r="H16" i="23"/>
  <c r="F16" i="23"/>
  <c r="D16" i="23"/>
  <c r="C16" i="23"/>
  <c r="D9" i="45"/>
  <c r="D8" i="45"/>
  <c r="C9" i="45"/>
  <c r="C8" i="45"/>
  <c r="D11" i="58"/>
  <c r="D10" i="58"/>
  <c r="D12" i="67"/>
  <c r="D9" i="85"/>
  <c r="D14" i="89"/>
  <c r="D7" i="90"/>
  <c r="D7" i="96"/>
  <c r="D11" i="96"/>
  <c r="D10" i="96"/>
  <c r="D9" i="96"/>
  <c r="D8" i="96"/>
  <c r="AJ14" i="104"/>
  <c r="AI14" i="104"/>
  <c r="AJ97" i="104"/>
  <c r="AI97" i="104"/>
  <c r="AJ45" i="104"/>
  <c r="AI45" i="104"/>
  <c r="AJ23" i="104"/>
  <c r="AI23" i="104"/>
  <c r="AJ20" i="104"/>
  <c r="AI20" i="104"/>
  <c r="AJ54" i="104"/>
  <c r="AI54" i="104"/>
  <c r="AJ33" i="104"/>
  <c r="AI33" i="104"/>
  <c r="AJ32" i="104"/>
  <c r="AI32" i="104"/>
  <c r="AJ101" i="104"/>
  <c r="AI101" i="104"/>
  <c r="AJ19" i="104"/>
  <c r="AI19" i="104"/>
  <c r="AJ26" i="104"/>
  <c r="AI26" i="104"/>
  <c r="D5" i="98"/>
  <c r="D5" i="105"/>
  <c r="D11" i="67"/>
  <c r="D10" i="67"/>
  <c r="D9" i="67"/>
  <c r="D13" i="89"/>
  <c r="D10" i="92"/>
  <c r="D9" i="58"/>
  <c r="D8" i="79"/>
  <c r="D7" i="79"/>
  <c r="D7" i="80"/>
  <c r="D12" i="13"/>
  <c r="D14" i="93"/>
  <c r="D13" i="93"/>
  <c r="D9" i="86"/>
  <c r="I6" i="95"/>
  <c r="I7" i="54"/>
  <c r="I6" i="54"/>
  <c r="G6" i="23"/>
  <c r="G6" i="102"/>
  <c r="E5" i="19"/>
  <c r="G7" i="48"/>
  <c r="G5" i="93"/>
  <c r="G5" i="69"/>
  <c r="G5" i="70"/>
  <c r="G6" i="48"/>
  <c r="H6" i="48" s="1"/>
  <c r="G7" i="18"/>
  <c r="G6" i="18"/>
  <c r="H6" i="18" s="1"/>
  <c r="G6" i="45"/>
  <c r="AH49" i="104"/>
  <c r="AG49" i="104"/>
  <c r="AH37" i="104"/>
  <c r="AG37" i="104"/>
  <c r="AH27" i="104"/>
  <c r="AG27" i="104"/>
  <c r="AH8" i="104"/>
  <c r="AG8" i="104"/>
  <c r="D10" i="63"/>
  <c r="D19" i="75"/>
  <c r="D8" i="85"/>
  <c r="D9" i="9"/>
  <c r="AF89" i="104"/>
  <c r="AE89" i="104"/>
  <c r="AF79" i="104"/>
  <c r="AE79" i="104"/>
  <c r="AF12" i="104"/>
  <c r="AE12" i="104"/>
  <c r="AF11" i="104"/>
  <c r="AE11" i="104"/>
  <c r="AE10" i="104"/>
  <c r="H25" i="11"/>
  <c r="H24" i="11"/>
  <c r="H23" i="11"/>
  <c r="H22" i="11"/>
  <c r="H21" i="11"/>
  <c r="H20" i="11"/>
  <c r="H19" i="11"/>
  <c r="H18" i="11"/>
  <c r="H17" i="11"/>
  <c r="H16" i="11"/>
  <c r="H15" i="11"/>
  <c r="H14" i="11"/>
  <c r="H13" i="11"/>
  <c r="H12" i="11"/>
  <c r="H11" i="11"/>
  <c r="H10" i="11"/>
  <c r="H9" i="11"/>
  <c r="H8" i="11"/>
  <c r="H7" i="11"/>
  <c r="H6" i="11"/>
  <c r="H5" i="11"/>
  <c r="H4" i="11"/>
  <c r="H21" i="12"/>
  <c r="H20" i="12"/>
  <c r="H19" i="12"/>
  <c r="H18" i="12"/>
  <c r="H17" i="12"/>
  <c r="H16" i="12"/>
  <c r="H15" i="12"/>
  <c r="H14" i="12"/>
  <c r="H13" i="12"/>
  <c r="H12" i="12"/>
  <c r="H11" i="12"/>
  <c r="H10" i="12"/>
  <c r="H9" i="12"/>
  <c r="H8" i="12"/>
  <c r="H7" i="12"/>
  <c r="G6" i="12"/>
  <c r="H6" i="12" s="1"/>
  <c r="H5" i="12"/>
  <c r="H4" i="12"/>
  <c r="H22" i="13"/>
  <c r="H21" i="13"/>
  <c r="H20" i="13"/>
  <c r="H19" i="13"/>
  <c r="H18" i="13"/>
  <c r="H17" i="13"/>
  <c r="H16" i="13"/>
  <c r="H15" i="13"/>
  <c r="H14" i="13"/>
  <c r="H13" i="13"/>
  <c r="H12" i="13"/>
  <c r="H11" i="13"/>
  <c r="H10" i="13"/>
  <c r="H9" i="13"/>
  <c r="H8" i="13"/>
  <c r="H7" i="13"/>
  <c r="H6" i="13"/>
  <c r="H5" i="13"/>
  <c r="H19" i="14"/>
  <c r="H18" i="14"/>
  <c r="H17" i="14"/>
  <c r="H16" i="14"/>
  <c r="H15" i="14"/>
  <c r="H14" i="14"/>
  <c r="H13" i="14"/>
  <c r="H12" i="14"/>
  <c r="H11" i="14"/>
  <c r="H10" i="14"/>
  <c r="H9" i="14"/>
  <c r="H8" i="14"/>
  <c r="H7" i="14"/>
  <c r="H6" i="14"/>
  <c r="H5" i="14"/>
  <c r="H4" i="14"/>
  <c r="H25" i="15"/>
  <c r="H24" i="15"/>
  <c r="H23" i="15"/>
  <c r="H22" i="15"/>
  <c r="H21" i="15"/>
  <c r="H20" i="15"/>
  <c r="H19" i="15"/>
  <c r="H18" i="15"/>
  <c r="H17" i="15"/>
  <c r="H16" i="15"/>
  <c r="H15" i="15"/>
  <c r="H14" i="15"/>
  <c r="H13" i="15"/>
  <c r="H12" i="15"/>
  <c r="H11" i="15"/>
  <c r="H10" i="15"/>
  <c r="H9" i="15"/>
  <c r="H8" i="15"/>
  <c r="H7" i="15"/>
  <c r="H6" i="15"/>
  <c r="H5" i="15"/>
  <c r="H26" i="15" s="1"/>
  <c r="H4" i="15"/>
  <c r="H19" i="16"/>
  <c r="H18" i="16"/>
  <c r="H17" i="16"/>
  <c r="H16" i="16"/>
  <c r="H15" i="16"/>
  <c r="H14" i="16"/>
  <c r="H13" i="16"/>
  <c r="H12" i="16"/>
  <c r="H11" i="16"/>
  <c r="H10" i="16"/>
  <c r="H9" i="16"/>
  <c r="H8" i="16"/>
  <c r="H7" i="16"/>
  <c r="H6" i="16"/>
  <c r="H5" i="16"/>
  <c r="H4" i="16"/>
  <c r="H20" i="16" s="1"/>
  <c r="H27" i="105"/>
  <c r="H26" i="105"/>
  <c r="H25" i="105"/>
  <c r="H24" i="105"/>
  <c r="H23" i="105"/>
  <c r="H22" i="105"/>
  <c r="H21" i="105"/>
  <c r="H20" i="105"/>
  <c r="H19" i="105"/>
  <c r="H18" i="105"/>
  <c r="H17" i="105"/>
  <c r="H16" i="105"/>
  <c r="H15" i="105"/>
  <c r="H14" i="105"/>
  <c r="H13" i="105"/>
  <c r="H12" i="105"/>
  <c r="H11" i="105"/>
  <c r="H10" i="105"/>
  <c r="H9" i="105"/>
  <c r="H8" i="105"/>
  <c r="H7" i="105"/>
  <c r="H6" i="105"/>
  <c r="H5" i="105"/>
  <c r="H4" i="105"/>
  <c r="H28" i="17"/>
  <c r="H27" i="17"/>
  <c r="H26" i="17"/>
  <c r="H25" i="17"/>
  <c r="H24" i="17"/>
  <c r="H23" i="17"/>
  <c r="H22" i="17"/>
  <c r="H21" i="17"/>
  <c r="H20" i="17"/>
  <c r="H19" i="17"/>
  <c r="H18" i="17"/>
  <c r="H17" i="17"/>
  <c r="H16" i="17"/>
  <c r="H15" i="17"/>
  <c r="H14" i="17"/>
  <c r="H13" i="17"/>
  <c r="H12" i="17"/>
  <c r="H11" i="17"/>
  <c r="H10" i="17"/>
  <c r="H9" i="17"/>
  <c r="H8" i="17"/>
  <c r="H7" i="17"/>
  <c r="H6" i="17"/>
  <c r="H5" i="17"/>
  <c r="H4" i="17"/>
  <c r="H18" i="18"/>
  <c r="H17" i="18"/>
  <c r="H16" i="18"/>
  <c r="H15" i="18"/>
  <c r="H14" i="18"/>
  <c r="H13" i="18"/>
  <c r="H12" i="18"/>
  <c r="H11" i="18"/>
  <c r="H10" i="18"/>
  <c r="H9" i="18"/>
  <c r="H8" i="18"/>
  <c r="H7" i="18"/>
  <c r="H5" i="18"/>
  <c r="H4" i="18"/>
  <c r="H18" i="19"/>
  <c r="H17" i="19"/>
  <c r="H16" i="19"/>
  <c r="H15" i="19"/>
  <c r="H14" i="19"/>
  <c r="H13" i="19"/>
  <c r="H12" i="19"/>
  <c r="H11" i="19"/>
  <c r="H10" i="19"/>
  <c r="H9" i="19"/>
  <c r="H8" i="19"/>
  <c r="H7" i="19"/>
  <c r="H6" i="19"/>
  <c r="H5" i="19"/>
  <c r="H4" i="19"/>
  <c r="H23" i="20"/>
  <c r="H22" i="20"/>
  <c r="H21" i="20"/>
  <c r="H20" i="20"/>
  <c r="H19" i="20"/>
  <c r="H18" i="20"/>
  <c r="H17" i="20"/>
  <c r="H16" i="20"/>
  <c r="H15" i="20"/>
  <c r="H14" i="20"/>
  <c r="H13" i="20"/>
  <c r="H12" i="20"/>
  <c r="H11" i="20"/>
  <c r="H10" i="20"/>
  <c r="H9" i="20"/>
  <c r="H8" i="20"/>
  <c r="H7" i="20"/>
  <c r="H6" i="20"/>
  <c r="H24" i="21"/>
  <c r="H23" i="21"/>
  <c r="H22" i="21"/>
  <c r="H21" i="21"/>
  <c r="H20" i="21"/>
  <c r="H19" i="21"/>
  <c r="H18" i="21"/>
  <c r="H17" i="21"/>
  <c r="H16" i="21"/>
  <c r="H15" i="21"/>
  <c r="H14" i="21"/>
  <c r="H13" i="21"/>
  <c r="H12" i="21"/>
  <c r="H11" i="21"/>
  <c r="H10" i="21"/>
  <c r="H9" i="21"/>
  <c r="H8" i="21"/>
  <c r="H7" i="21"/>
  <c r="H6" i="21"/>
  <c r="H5" i="21"/>
  <c r="H4" i="21"/>
  <c r="H21" i="22"/>
  <c r="H5" i="22"/>
  <c r="H4" i="22"/>
  <c r="H27" i="23"/>
  <c r="H26" i="23"/>
  <c r="H25" i="23"/>
  <c r="H24" i="23"/>
  <c r="H23" i="23"/>
  <c r="H22" i="23"/>
  <c r="H21" i="23"/>
  <c r="H20" i="23"/>
  <c r="H19" i="23"/>
  <c r="H18" i="23"/>
  <c r="H15" i="23"/>
  <c r="H14" i="23"/>
  <c r="H13" i="23"/>
  <c r="H12" i="23"/>
  <c r="H10" i="23"/>
  <c r="H8" i="23"/>
  <c r="H7" i="23"/>
  <c r="H6" i="23"/>
  <c r="H5" i="23"/>
  <c r="H4" i="23"/>
  <c r="H20" i="24"/>
  <c r="H19" i="24"/>
  <c r="H18" i="24"/>
  <c r="H17" i="24"/>
  <c r="H16" i="24"/>
  <c r="H15" i="24"/>
  <c r="H14" i="24"/>
  <c r="H13" i="24"/>
  <c r="H12" i="24"/>
  <c r="H11" i="24"/>
  <c r="H10" i="24"/>
  <c r="H9" i="24"/>
  <c r="H8" i="24"/>
  <c r="H7" i="24"/>
  <c r="H6" i="24"/>
  <c r="H5" i="24"/>
  <c r="H4" i="24"/>
  <c r="H20" i="25"/>
  <c r="H19" i="25"/>
  <c r="H18" i="25"/>
  <c r="H17" i="25"/>
  <c r="H16" i="25"/>
  <c r="H15" i="25"/>
  <c r="H14" i="25"/>
  <c r="H13" i="25"/>
  <c r="H12" i="25"/>
  <c r="H11" i="25"/>
  <c r="H10" i="25"/>
  <c r="H9" i="25"/>
  <c r="H8" i="25"/>
  <c r="H7" i="25"/>
  <c r="H6" i="25"/>
  <c r="H5" i="25"/>
  <c r="H4" i="25"/>
  <c r="H21" i="25" s="1"/>
  <c r="H12" i="26"/>
  <c r="H11" i="26"/>
  <c r="H10" i="26"/>
  <c r="H9" i="26"/>
  <c r="H8" i="26"/>
  <c r="H7" i="26"/>
  <c r="H6" i="26"/>
  <c r="H5" i="26"/>
  <c r="H4" i="26"/>
  <c r="H13" i="26" s="1"/>
  <c r="F6" i="26"/>
  <c r="J6" i="26"/>
  <c r="F7" i="26"/>
  <c r="J7" i="26"/>
  <c r="F8" i="26"/>
  <c r="J8" i="26"/>
  <c r="F9" i="26"/>
  <c r="J9" i="26"/>
  <c r="F10" i="26"/>
  <c r="J10" i="26"/>
  <c r="F11" i="26"/>
  <c r="J11" i="26"/>
  <c r="F12" i="26"/>
  <c r="J12" i="26"/>
  <c r="H17" i="27"/>
  <c r="H16" i="27"/>
  <c r="H15" i="27"/>
  <c r="H14" i="27"/>
  <c r="H13" i="27"/>
  <c r="H12" i="27"/>
  <c r="H11" i="27"/>
  <c r="H10" i="27"/>
  <c r="H9" i="27"/>
  <c r="H8" i="27"/>
  <c r="H7" i="27"/>
  <c r="H6" i="27"/>
  <c r="H5" i="27"/>
  <c r="H4" i="27"/>
  <c r="H18" i="27" s="1"/>
  <c r="H22" i="28"/>
  <c r="H21" i="28"/>
  <c r="H20" i="28"/>
  <c r="H19" i="28"/>
  <c r="H18" i="28"/>
  <c r="H17" i="28"/>
  <c r="H16" i="28"/>
  <c r="H15" i="28"/>
  <c r="H14" i="28"/>
  <c r="H13" i="28"/>
  <c r="H12" i="28"/>
  <c r="H9" i="28"/>
  <c r="H8" i="28"/>
  <c r="H7" i="28"/>
  <c r="H6" i="28"/>
  <c r="H5" i="28"/>
  <c r="H4" i="28"/>
  <c r="H16" i="29"/>
  <c r="H15" i="29"/>
  <c r="H14" i="29"/>
  <c r="H13" i="29"/>
  <c r="H12" i="29"/>
  <c r="H11" i="29"/>
  <c r="H10" i="29"/>
  <c r="H9" i="29"/>
  <c r="H8" i="29"/>
  <c r="H7" i="29"/>
  <c r="H6" i="29"/>
  <c r="H5" i="29"/>
  <c r="H17" i="29" s="1"/>
  <c r="H4" i="29"/>
  <c r="H21" i="30"/>
  <c r="H20" i="30"/>
  <c r="H19" i="30"/>
  <c r="H18" i="30"/>
  <c r="H17" i="30"/>
  <c r="H16" i="30"/>
  <c r="H15" i="30"/>
  <c r="H14" i="30"/>
  <c r="H13" i="30"/>
  <c r="H12" i="30"/>
  <c r="H11" i="30"/>
  <c r="H10" i="30"/>
  <c r="H9" i="30"/>
  <c r="H8" i="30"/>
  <c r="H7" i="30"/>
  <c r="H6" i="30"/>
  <c r="H5" i="30"/>
  <c r="H4" i="30"/>
  <c r="H22" i="31"/>
  <c r="H21" i="31"/>
  <c r="H20" i="31"/>
  <c r="H19" i="31"/>
  <c r="H18" i="31"/>
  <c r="H17" i="31"/>
  <c r="H16" i="31"/>
  <c r="H15" i="31"/>
  <c r="H14" i="31"/>
  <c r="H13" i="31"/>
  <c r="H12" i="31"/>
  <c r="H11" i="31"/>
  <c r="H10" i="31"/>
  <c r="H9" i="31"/>
  <c r="H8" i="31"/>
  <c r="H7" i="31"/>
  <c r="H6" i="31"/>
  <c r="H5" i="31"/>
  <c r="H4" i="31"/>
  <c r="H23" i="31" s="1"/>
  <c r="H22" i="32"/>
  <c r="H21" i="32"/>
  <c r="H20" i="32"/>
  <c r="H19" i="32"/>
  <c r="H18" i="32"/>
  <c r="H17" i="32"/>
  <c r="H16" i="32"/>
  <c r="H15" i="32"/>
  <c r="H14" i="32"/>
  <c r="H13" i="32"/>
  <c r="H12" i="32"/>
  <c r="H11" i="32"/>
  <c r="H10" i="32"/>
  <c r="H9" i="32"/>
  <c r="H8" i="32"/>
  <c r="H7" i="32"/>
  <c r="H6" i="32"/>
  <c r="H5" i="32"/>
  <c r="H4" i="32"/>
  <c r="H23" i="32" s="1"/>
  <c r="H24" i="33"/>
  <c r="H23" i="33"/>
  <c r="H22" i="33"/>
  <c r="H21" i="33"/>
  <c r="H20" i="33"/>
  <c r="H19" i="33"/>
  <c r="H18" i="33"/>
  <c r="H17" i="33"/>
  <c r="H16" i="33"/>
  <c r="H15" i="33"/>
  <c r="H14" i="33"/>
  <c r="H13" i="33"/>
  <c r="H12" i="33"/>
  <c r="H11" i="33"/>
  <c r="H10" i="33"/>
  <c r="H9" i="33"/>
  <c r="H8" i="33"/>
  <c r="H7" i="33"/>
  <c r="H6" i="33"/>
  <c r="H5" i="33"/>
  <c r="H4" i="33"/>
  <c r="H18" i="34"/>
  <c r="H17" i="34"/>
  <c r="H16" i="34"/>
  <c r="H15" i="34"/>
  <c r="H14" i="34"/>
  <c r="H13" i="34"/>
  <c r="H12" i="34"/>
  <c r="H11" i="34"/>
  <c r="H10" i="34"/>
  <c r="H9" i="34"/>
  <c r="H8" i="34"/>
  <c r="H7" i="34"/>
  <c r="H6" i="34"/>
  <c r="H5" i="34"/>
  <c r="H19" i="34" s="1"/>
  <c r="H4" i="34"/>
  <c r="H20" i="35"/>
  <c r="H19" i="35"/>
  <c r="H18" i="35"/>
  <c r="H17" i="35"/>
  <c r="H16" i="35"/>
  <c r="H15" i="35"/>
  <c r="H14" i="35"/>
  <c r="H13" i="35"/>
  <c r="H12" i="35"/>
  <c r="H11" i="35"/>
  <c r="H10" i="35"/>
  <c r="H9" i="35"/>
  <c r="H8" i="35"/>
  <c r="H7" i="35"/>
  <c r="H6" i="35"/>
  <c r="H5" i="35"/>
  <c r="H4" i="35"/>
  <c r="H21" i="35" s="1"/>
  <c r="H30" i="36"/>
  <c r="H29" i="36"/>
  <c r="H28" i="36"/>
  <c r="H27" i="36"/>
  <c r="H26" i="36"/>
  <c r="H25" i="36"/>
  <c r="H24" i="36"/>
  <c r="H23" i="36"/>
  <c r="H22" i="36"/>
  <c r="H21" i="36"/>
  <c r="H20" i="36"/>
  <c r="H19" i="36"/>
  <c r="H18" i="36"/>
  <c r="H17" i="36"/>
  <c r="H16" i="36"/>
  <c r="H15" i="36"/>
  <c r="H14" i="36"/>
  <c r="H13" i="36"/>
  <c r="H12" i="36"/>
  <c r="H11" i="36"/>
  <c r="H10" i="36"/>
  <c r="H9" i="36"/>
  <c r="H8" i="36"/>
  <c r="H7" i="36"/>
  <c r="H6" i="36"/>
  <c r="H5" i="36"/>
  <c r="H4" i="36"/>
  <c r="H31" i="36" s="1"/>
  <c r="H21" i="37"/>
  <c r="H20" i="37"/>
  <c r="H19" i="37"/>
  <c r="H18" i="37"/>
  <c r="H17" i="37"/>
  <c r="H16" i="37"/>
  <c r="H15" i="37"/>
  <c r="H14" i="37"/>
  <c r="H13" i="37"/>
  <c r="H12" i="37"/>
  <c r="H11" i="37"/>
  <c r="H10" i="37"/>
  <c r="H9" i="37"/>
  <c r="H8" i="37"/>
  <c r="H7" i="37"/>
  <c r="H6" i="37"/>
  <c r="H5" i="37"/>
  <c r="H4" i="37"/>
  <c r="H22" i="37" s="1"/>
  <c r="H7" i="39"/>
  <c r="H6" i="39"/>
  <c r="H5" i="39"/>
  <c r="H8" i="39" s="1"/>
  <c r="H4" i="39"/>
  <c r="H23" i="38"/>
  <c r="H22" i="38"/>
  <c r="H21" i="38"/>
  <c r="H20" i="38"/>
  <c r="H19" i="38"/>
  <c r="H18" i="38"/>
  <c r="H17" i="38"/>
  <c r="H16" i="38"/>
  <c r="H15" i="38"/>
  <c r="H14" i="38"/>
  <c r="H13" i="38"/>
  <c r="H12" i="38"/>
  <c r="H11" i="38"/>
  <c r="H10" i="38"/>
  <c r="H9" i="38"/>
  <c r="H8" i="38"/>
  <c r="H24" i="38" s="1"/>
  <c r="H7" i="38"/>
  <c r="H6" i="38"/>
  <c r="H5" i="38"/>
  <c r="H4" i="38"/>
  <c r="H20" i="40"/>
  <c r="H19" i="40"/>
  <c r="H18" i="40"/>
  <c r="H17" i="40"/>
  <c r="H16" i="40"/>
  <c r="H15" i="40"/>
  <c r="H14" i="40"/>
  <c r="H13" i="40"/>
  <c r="H12" i="40"/>
  <c r="H11" i="40"/>
  <c r="H10" i="40"/>
  <c r="H9" i="40"/>
  <c r="H8" i="40"/>
  <c r="H7" i="40"/>
  <c r="H6" i="40"/>
  <c r="H5" i="40"/>
  <c r="H4" i="40"/>
  <c r="H21" i="40" s="1"/>
  <c r="H16" i="41"/>
  <c r="H15" i="41"/>
  <c r="H14" i="41"/>
  <c r="H13" i="41"/>
  <c r="H12" i="41"/>
  <c r="H11" i="41"/>
  <c r="H10" i="41"/>
  <c r="H9" i="41"/>
  <c r="H8" i="41"/>
  <c r="H7" i="41"/>
  <c r="H6" i="41"/>
  <c r="H5" i="41"/>
  <c r="H4" i="41"/>
  <c r="H17" i="41" s="1"/>
  <c r="H19" i="42"/>
  <c r="H18" i="42"/>
  <c r="H17" i="42"/>
  <c r="H16" i="42"/>
  <c r="H15" i="42"/>
  <c r="H14" i="42"/>
  <c r="H13" i="42"/>
  <c r="H12" i="42"/>
  <c r="H11" i="42"/>
  <c r="H10" i="42"/>
  <c r="H9" i="42"/>
  <c r="H8" i="42"/>
  <c r="H7" i="42"/>
  <c r="H6" i="42"/>
  <c r="H5" i="42"/>
  <c r="H4" i="42"/>
  <c r="H20" i="42" s="1"/>
  <c r="H19" i="43"/>
  <c r="H18" i="43"/>
  <c r="H17" i="43"/>
  <c r="H16" i="43"/>
  <c r="H15" i="43"/>
  <c r="H14" i="43"/>
  <c r="H13" i="43"/>
  <c r="H12" i="43"/>
  <c r="H11" i="43"/>
  <c r="H10" i="43"/>
  <c r="H9" i="43"/>
  <c r="H8" i="43"/>
  <c r="H7" i="43"/>
  <c r="H5" i="43"/>
  <c r="H4" i="43"/>
  <c r="H23" i="44"/>
  <c r="H22" i="44"/>
  <c r="H21" i="44"/>
  <c r="H20" i="44"/>
  <c r="H19" i="44"/>
  <c r="H18" i="44"/>
  <c r="H17" i="44"/>
  <c r="H16" i="44"/>
  <c r="H15" i="44"/>
  <c r="H14" i="44"/>
  <c r="H13" i="44"/>
  <c r="H12" i="44"/>
  <c r="H11" i="44"/>
  <c r="H10" i="44"/>
  <c r="H9" i="44"/>
  <c r="H8" i="44"/>
  <c r="H7" i="44"/>
  <c r="H6" i="44"/>
  <c r="H5" i="44"/>
  <c r="H4" i="44"/>
  <c r="H24" i="44" s="1"/>
  <c r="H24" i="45"/>
  <c r="H23" i="45"/>
  <c r="H22" i="45"/>
  <c r="H21" i="45"/>
  <c r="H20" i="45"/>
  <c r="H19" i="45"/>
  <c r="H18" i="45"/>
  <c r="H17" i="45"/>
  <c r="H16" i="45"/>
  <c r="H15" i="45"/>
  <c r="H14" i="45"/>
  <c r="H13" i="45"/>
  <c r="H12" i="45"/>
  <c r="H11" i="45"/>
  <c r="H10" i="45"/>
  <c r="H9" i="45"/>
  <c r="H8" i="45"/>
  <c r="H7" i="45"/>
  <c r="H6" i="45"/>
  <c r="H5" i="45"/>
  <c r="H4" i="45"/>
  <c r="H15" i="46"/>
  <c r="H14" i="46"/>
  <c r="H13" i="46"/>
  <c r="H12" i="46"/>
  <c r="H11" i="46"/>
  <c r="H10" i="46"/>
  <c r="H9" i="46"/>
  <c r="H8" i="46"/>
  <c r="H7" i="46"/>
  <c r="H6" i="46"/>
  <c r="H5" i="46"/>
  <c r="H4" i="46"/>
  <c r="H24" i="47"/>
  <c r="H23" i="47"/>
  <c r="H22" i="47"/>
  <c r="H21" i="47"/>
  <c r="H20" i="47"/>
  <c r="H19" i="47"/>
  <c r="H18" i="47"/>
  <c r="H17" i="47"/>
  <c r="H16" i="47"/>
  <c r="H15" i="47"/>
  <c r="H14" i="47"/>
  <c r="H13" i="47"/>
  <c r="H12" i="47"/>
  <c r="H11" i="47"/>
  <c r="H10" i="47"/>
  <c r="H9" i="47"/>
  <c r="H8" i="47"/>
  <c r="H7" i="47"/>
  <c r="H6" i="47"/>
  <c r="H5" i="47"/>
  <c r="H4" i="47"/>
  <c r="H24" i="48"/>
  <c r="H23" i="48"/>
  <c r="H22" i="48"/>
  <c r="H21" i="48"/>
  <c r="H20" i="48"/>
  <c r="H19" i="48"/>
  <c r="H18" i="48"/>
  <c r="H17" i="48"/>
  <c r="H16" i="48"/>
  <c r="H15" i="48"/>
  <c r="H14" i="48"/>
  <c r="H13" i="48"/>
  <c r="H12" i="48"/>
  <c r="H11" i="48"/>
  <c r="H10" i="48"/>
  <c r="H9" i="48"/>
  <c r="H8" i="48"/>
  <c r="H7" i="48"/>
  <c r="H5" i="48"/>
  <c r="H4" i="48"/>
  <c r="H23" i="49"/>
  <c r="H22" i="49"/>
  <c r="H21" i="49"/>
  <c r="H20" i="49"/>
  <c r="H19" i="49"/>
  <c r="H18" i="49"/>
  <c r="H17" i="49"/>
  <c r="H16" i="49"/>
  <c r="H15" i="49"/>
  <c r="H14" i="49"/>
  <c r="H13" i="49"/>
  <c r="H12" i="49"/>
  <c r="H11" i="49"/>
  <c r="H10" i="49"/>
  <c r="H9" i="49"/>
  <c r="H8" i="49"/>
  <c r="H7" i="49"/>
  <c r="H6" i="49"/>
  <c r="H5" i="49"/>
  <c r="H4" i="49"/>
  <c r="H22" i="50"/>
  <c r="H21" i="50"/>
  <c r="H20" i="50"/>
  <c r="H19" i="50"/>
  <c r="H18" i="50"/>
  <c r="H17" i="50"/>
  <c r="H16" i="50"/>
  <c r="H15" i="50"/>
  <c r="H14" i="50"/>
  <c r="H13" i="50"/>
  <c r="H12" i="50"/>
  <c r="H11" i="50"/>
  <c r="H10" i="50"/>
  <c r="H9" i="50"/>
  <c r="H8" i="50"/>
  <c r="H7" i="50"/>
  <c r="H6" i="50"/>
  <c r="H5" i="50"/>
  <c r="H4" i="50"/>
  <c r="H23" i="50" s="1"/>
  <c r="H7" i="51"/>
  <c r="H6" i="51"/>
  <c r="H5" i="51"/>
  <c r="H4" i="51"/>
  <c r="H8" i="51" s="1"/>
  <c r="H21" i="52"/>
  <c r="H20" i="52"/>
  <c r="H19" i="52"/>
  <c r="H18" i="52"/>
  <c r="H17" i="52"/>
  <c r="H16" i="52"/>
  <c r="H15" i="52"/>
  <c r="H14" i="52"/>
  <c r="H13" i="52"/>
  <c r="H12" i="52"/>
  <c r="H11" i="52"/>
  <c r="H10" i="52"/>
  <c r="H9" i="52"/>
  <c r="H8" i="52"/>
  <c r="H7" i="52"/>
  <c r="H6" i="52"/>
  <c r="H4" i="52"/>
  <c r="H20" i="53"/>
  <c r="H19" i="53"/>
  <c r="H18" i="53"/>
  <c r="H17" i="53"/>
  <c r="H16" i="53"/>
  <c r="H15" i="53"/>
  <c r="H14" i="53"/>
  <c r="H13" i="53"/>
  <c r="H12" i="53"/>
  <c r="H11" i="53"/>
  <c r="H10" i="53"/>
  <c r="H9" i="53"/>
  <c r="H8" i="53"/>
  <c r="H7" i="53"/>
  <c r="H6" i="53"/>
  <c r="H5" i="53"/>
  <c r="H21" i="53" s="1"/>
  <c r="H4" i="53"/>
  <c r="H21" i="54"/>
  <c r="H20" i="54"/>
  <c r="H19" i="54"/>
  <c r="H18" i="54"/>
  <c r="H17" i="54"/>
  <c r="H16" i="54"/>
  <c r="H15" i="54"/>
  <c r="H14" i="54"/>
  <c r="H13" i="54"/>
  <c r="H12" i="54"/>
  <c r="H11" i="54"/>
  <c r="H10" i="54"/>
  <c r="H9" i="54"/>
  <c r="H8" i="54"/>
  <c r="H7" i="54"/>
  <c r="H6" i="54"/>
  <c r="H22" i="54" s="1"/>
  <c r="H5" i="54"/>
  <c r="H4" i="54"/>
  <c r="H7" i="55"/>
  <c r="H6" i="55"/>
  <c r="H5" i="55"/>
  <c r="H8" i="55" s="1"/>
  <c r="H4" i="55"/>
  <c r="H17" i="56"/>
  <c r="H16" i="56"/>
  <c r="H15" i="56"/>
  <c r="H4" i="56"/>
  <c r="H14" i="57"/>
  <c r="H13" i="57"/>
  <c r="H12" i="57"/>
  <c r="H11" i="57"/>
  <c r="H10" i="57"/>
  <c r="H9" i="57"/>
  <c r="H8" i="57"/>
  <c r="H7" i="57"/>
  <c r="H6" i="57"/>
  <c r="G5" i="57"/>
  <c r="H5" i="57" s="1"/>
  <c r="H4" i="57"/>
  <c r="H12" i="106"/>
  <c r="H11" i="106"/>
  <c r="H10" i="106"/>
  <c r="H9" i="106"/>
  <c r="H8" i="106"/>
  <c r="H7" i="106"/>
  <c r="H6" i="106"/>
  <c r="H5" i="106"/>
  <c r="H4" i="106"/>
  <c r="H13" i="106" s="1"/>
  <c r="H23" i="58"/>
  <c r="H22" i="58"/>
  <c r="H21" i="58"/>
  <c r="H20" i="58"/>
  <c r="H19" i="58"/>
  <c r="H18" i="58"/>
  <c r="H17" i="58"/>
  <c r="H16" i="58"/>
  <c r="H15" i="58"/>
  <c r="H14" i="58"/>
  <c r="H13" i="58"/>
  <c r="H12" i="58"/>
  <c r="H11" i="58"/>
  <c r="H10" i="58"/>
  <c r="H9" i="58"/>
  <c r="H8" i="58"/>
  <c r="H7" i="58"/>
  <c r="H6" i="58"/>
  <c r="H5" i="58"/>
  <c r="H4" i="58"/>
  <c r="H23" i="59"/>
  <c r="H22" i="59"/>
  <c r="H21" i="59"/>
  <c r="H20" i="59"/>
  <c r="H19" i="59"/>
  <c r="H18" i="59"/>
  <c r="H17" i="59"/>
  <c r="H16" i="59"/>
  <c r="H15" i="59"/>
  <c r="H14" i="59"/>
  <c r="H13" i="59"/>
  <c r="H12" i="59"/>
  <c r="H11" i="59"/>
  <c r="H10" i="59"/>
  <c r="H9" i="59"/>
  <c r="H8" i="59"/>
  <c r="H7" i="59"/>
  <c r="H6" i="59"/>
  <c r="H5" i="59"/>
  <c r="H4" i="59"/>
  <c r="H22" i="60"/>
  <c r="H21" i="60"/>
  <c r="H20" i="60"/>
  <c r="H19" i="60"/>
  <c r="H18" i="60"/>
  <c r="H17" i="60"/>
  <c r="H16" i="60"/>
  <c r="H15" i="60"/>
  <c r="H14" i="60"/>
  <c r="H13" i="60"/>
  <c r="H12" i="60"/>
  <c r="H11" i="60"/>
  <c r="H10" i="60"/>
  <c r="H9" i="60"/>
  <c r="H8" i="60"/>
  <c r="H7" i="60"/>
  <c r="H6" i="60"/>
  <c r="H5" i="60"/>
  <c r="H4" i="60"/>
  <c r="H23" i="60" s="1"/>
  <c r="H9" i="61"/>
  <c r="H8" i="61"/>
  <c r="H7" i="61"/>
  <c r="H6" i="61"/>
  <c r="H5" i="61"/>
  <c r="H4" i="61"/>
  <c r="H10" i="61" s="1"/>
  <c r="H21" i="62"/>
  <c r="H20" i="62"/>
  <c r="H19" i="62"/>
  <c r="H18" i="62"/>
  <c r="H17" i="62"/>
  <c r="H16" i="62"/>
  <c r="H15" i="62"/>
  <c r="H14" i="62"/>
  <c r="H13" i="62"/>
  <c r="H12" i="62"/>
  <c r="H11" i="62"/>
  <c r="H10" i="62"/>
  <c r="H9" i="62"/>
  <c r="H8" i="62"/>
  <c r="H5" i="62"/>
  <c r="H4" i="62"/>
  <c r="H26" i="63"/>
  <c r="H25" i="63"/>
  <c r="H24" i="63"/>
  <c r="H23" i="63"/>
  <c r="H22" i="63"/>
  <c r="H21" i="63"/>
  <c r="H20" i="63"/>
  <c r="H19" i="63"/>
  <c r="H18" i="63"/>
  <c r="H17" i="63"/>
  <c r="H16" i="63"/>
  <c r="H15" i="63"/>
  <c r="H14" i="63"/>
  <c r="H13" i="63"/>
  <c r="H12" i="63"/>
  <c r="H11" i="63"/>
  <c r="H10" i="63"/>
  <c r="H9" i="63"/>
  <c r="H8" i="63"/>
  <c r="H7" i="63"/>
  <c r="H6" i="63"/>
  <c r="H5" i="63"/>
  <c r="H4" i="63"/>
  <c r="H15" i="64"/>
  <c r="H14" i="64"/>
  <c r="H13" i="64"/>
  <c r="H12" i="64"/>
  <c r="H11" i="64"/>
  <c r="H10" i="64"/>
  <c r="H9" i="64"/>
  <c r="H8" i="64"/>
  <c r="H7" i="64"/>
  <c r="H6" i="64"/>
  <c r="H5" i="64"/>
  <c r="H4" i="64"/>
  <c r="H16" i="64" s="1"/>
  <c r="H17" i="65"/>
  <c r="H16" i="65"/>
  <c r="H15" i="65"/>
  <c r="H14" i="65"/>
  <c r="H13" i="65"/>
  <c r="H12" i="65"/>
  <c r="H11" i="65"/>
  <c r="H10" i="65"/>
  <c r="H9" i="65"/>
  <c r="H8" i="65"/>
  <c r="H7" i="65"/>
  <c r="H6" i="65"/>
  <c r="H4" i="65"/>
  <c r="H24" i="66"/>
  <c r="H23" i="66"/>
  <c r="H22" i="66"/>
  <c r="H21" i="66"/>
  <c r="H20" i="66"/>
  <c r="H19" i="66"/>
  <c r="H18" i="66"/>
  <c r="H17" i="66"/>
  <c r="H16" i="66"/>
  <c r="H15" i="66"/>
  <c r="H14" i="66"/>
  <c r="H13" i="66"/>
  <c r="H12" i="66"/>
  <c r="H11" i="66"/>
  <c r="H10" i="66"/>
  <c r="H9" i="66"/>
  <c r="H8" i="66"/>
  <c r="H7" i="66"/>
  <c r="H6" i="66"/>
  <c r="H5" i="66"/>
  <c r="H4" i="66"/>
  <c r="H27" i="67"/>
  <c r="H26" i="67"/>
  <c r="H25" i="67"/>
  <c r="H24" i="67"/>
  <c r="H23" i="67"/>
  <c r="H22" i="67"/>
  <c r="H21" i="67"/>
  <c r="H20" i="67"/>
  <c r="H19" i="67"/>
  <c r="H18" i="67"/>
  <c r="H17" i="67"/>
  <c r="H16" i="67"/>
  <c r="H15" i="67"/>
  <c r="H14" i="67"/>
  <c r="H13" i="67"/>
  <c r="H12" i="67"/>
  <c r="H11" i="67"/>
  <c r="H10" i="67"/>
  <c r="H9" i="67"/>
  <c r="H8" i="67"/>
  <c r="H7" i="67"/>
  <c r="H6" i="67"/>
  <c r="H5" i="67"/>
  <c r="H4" i="67"/>
  <c r="H22" i="68"/>
  <c r="H21" i="68"/>
  <c r="H20" i="68"/>
  <c r="H19" i="68"/>
  <c r="H18" i="68"/>
  <c r="H17" i="68"/>
  <c r="H16" i="68"/>
  <c r="H15" i="68"/>
  <c r="H14" i="68"/>
  <c r="H13" i="68"/>
  <c r="H12" i="68"/>
  <c r="H11" i="68"/>
  <c r="H10" i="68"/>
  <c r="H9" i="68"/>
  <c r="H8" i="68"/>
  <c r="H7" i="68"/>
  <c r="H6" i="68"/>
  <c r="H5" i="68"/>
  <c r="H4" i="68"/>
  <c r="H20" i="69"/>
  <c r="H19" i="69"/>
  <c r="H18" i="69"/>
  <c r="H17" i="69"/>
  <c r="H16" i="69"/>
  <c r="H15" i="69"/>
  <c r="H14" i="69"/>
  <c r="H13" i="69"/>
  <c r="H12" i="69"/>
  <c r="H11" i="69"/>
  <c r="H10" i="69"/>
  <c r="H9" i="69"/>
  <c r="H8" i="69"/>
  <c r="H7" i="69"/>
  <c r="H6" i="69"/>
  <c r="H5" i="69"/>
  <c r="H21" i="69" s="1"/>
  <c r="H4" i="69"/>
  <c r="H17" i="70"/>
  <c r="H16" i="70"/>
  <c r="H15" i="70"/>
  <c r="H14" i="70"/>
  <c r="H13" i="70"/>
  <c r="H12" i="70"/>
  <c r="H11" i="70"/>
  <c r="H10" i="70"/>
  <c r="H9" i="70"/>
  <c r="H8" i="70"/>
  <c r="H7" i="70"/>
  <c r="H6" i="70"/>
  <c r="H5" i="70"/>
  <c r="H4" i="70"/>
  <c r="H17" i="71"/>
  <c r="H16" i="71"/>
  <c r="H15" i="71"/>
  <c r="H14" i="71"/>
  <c r="H13" i="71"/>
  <c r="H12" i="71"/>
  <c r="H11" i="71"/>
  <c r="H10" i="71"/>
  <c r="H9" i="71"/>
  <c r="H8" i="71"/>
  <c r="H7" i="71"/>
  <c r="H6" i="71"/>
  <c r="H5" i="71"/>
  <c r="H4" i="71"/>
  <c r="J4" i="71"/>
  <c r="J5" i="71"/>
  <c r="J6" i="71"/>
  <c r="J7" i="71"/>
  <c r="J8" i="71"/>
  <c r="J9" i="71"/>
  <c r="J10" i="71"/>
  <c r="J11" i="71"/>
  <c r="J12" i="71"/>
  <c r="J13" i="71"/>
  <c r="J14" i="71"/>
  <c r="J15" i="71"/>
  <c r="J16" i="71"/>
  <c r="J17" i="71"/>
  <c r="H22" i="72"/>
  <c r="H21" i="72"/>
  <c r="H20" i="72"/>
  <c r="H19" i="72"/>
  <c r="H18" i="72"/>
  <c r="H17" i="72"/>
  <c r="H16" i="72"/>
  <c r="H15" i="72"/>
  <c r="H14" i="72"/>
  <c r="H13" i="72"/>
  <c r="H12" i="72"/>
  <c r="H11" i="72"/>
  <c r="H10" i="72"/>
  <c r="H9" i="72"/>
  <c r="H8" i="72"/>
  <c r="H7" i="72"/>
  <c r="H6" i="72"/>
  <c r="H23" i="72" s="1"/>
  <c r="H5" i="72"/>
  <c r="H4" i="72"/>
  <c r="H25" i="73"/>
  <c r="H24" i="73"/>
  <c r="H23" i="73"/>
  <c r="H22" i="73"/>
  <c r="H21" i="73"/>
  <c r="H20" i="73"/>
  <c r="H19" i="73"/>
  <c r="H18" i="73"/>
  <c r="H17" i="73"/>
  <c r="H16" i="73"/>
  <c r="H15" i="73"/>
  <c r="H14" i="73"/>
  <c r="H13" i="73"/>
  <c r="H9" i="73"/>
  <c r="H8" i="73"/>
  <c r="H7" i="73"/>
  <c r="H6" i="73"/>
  <c r="H5" i="73"/>
  <c r="H4" i="73"/>
  <c r="H24" i="74"/>
  <c r="H23" i="74"/>
  <c r="H22" i="74"/>
  <c r="H21" i="74"/>
  <c r="H20" i="74"/>
  <c r="H19" i="74"/>
  <c r="H18" i="74"/>
  <c r="H17" i="74"/>
  <c r="H16" i="74"/>
  <c r="H15" i="74"/>
  <c r="H14" i="74"/>
  <c r="H13" i="74"/>
  <c r="H12" i="74"/>
  <c r="H11" i="74"/>
  <c r="H10" i="74"/>
  <c r="H9" i="74"/>
  <c r="H8" i="74"/>
  <c r="H7" i="74"/>
  <c r="H6" i="74"/>
  <c r="H5" i="74"/>
  <c r="H4" i="74"/>
  <c r="H25" i="74" s="1"/>
  <c r="H28" i="75"/>
  <c r="H27" i="75"/>
  <c r="H26" i="75"/>
  <c r="H25" i="75"/>
  <c r="H24" i="75"/>
  <c r="H23" i="75"/>
  <c r="H22" i="75"/>
  <c r="H21" i="75"/>
  <c r="H20" i="75"/>
  <c r="H19" i="75"/>
  <c r="H18" i="75"/>
  <c r="H17" i="75"/>
  <c r="H16" i="75"/>
  <c r="H13" i="75"/>
  <c r="H12" i="75"/>
  <c r="H11" i="75"/>
  <c r="H10" i="75"/>
  <c r="H9" i="75"/>
  <c r="H8" i="75"/>
  <c r="H7" i="75"/>
  <c r="H6" i="75"/>
  <c r="H5" i="75"/>
  <c r="H4" i="75"/>
  <c r="H7" i="76"/>
  <c r="H6" i="76"/>
  <c r="H5" i="76"/>
  <c r="H4" i="76"/>
  <c r="H8" i="76" s="1"/>
  <c r="H20" i="77"/>
  <c r="H19" i="77"/>
  <c r="H18" i="77"/>
  <c r="H17" i="77"/>
  <c r="H16" i="77"/>
  <c r="H15" i="77"/>
  <c r="H14" i="77"/>
  <c r="H13" i="77"/>
  <c r="H12" i="77"/>
  <c r="H11" i="77"/>
  <c r="H10" i="77"/>
  <c r="H9" i="77"/>
  <c r="H8" i="77"/>
  <c r="H7" i="77"/>
  <c r="H6" i="77"/>
  <c r="H5" i="77"/>
  <c r="H21" i="77" s="1"/>
  <c r="H4" i="77"/>
  <c r="H20" i="78"/>
  <c r="H19" i="78"/>
  <c r="H18" i="78"/>
  <c r="H17" i="78"/>
  <c r="H16" i="78"/>
  <c r="H15" i="78"/>
  <c r="H14" i="78"/>
  <c r="H13" i="78"/>
  <c r="H12" i="78"/>
  <c r="H11" i="78"/>
  <c r="H10" i="78"/>
  <c r="H9" i="78"/>
  <c r="H8" i="78"/>
  <c r="H7" i="78"/>
  <c r="H6" i="78"/>
  <c r="H5" i="78"/>
  <c r="H21" i="78" s="1"/>
  <c r="H4" i="78"/>
  <c r="H21" i="79"/>
  <c r="H20" i="79"/>
  <c r="H19" i="79"/>
  <c r="H18" i="79"/>
  <c r="H17" i="79"/>
  <c r="H16" i="79"/>
  <c r="H15" i="79"/>
  <c r="H14" i="79"/>
  <c r="H13" i="79"/>
  <c r="H12" i="79"/>
  <c r="H11" i="79"/>
  <c r="H10" i="79"/>
  <c r="H9" i="79"/>
  <c r="H8" i="79"/>
  <c r="H7" i="79"/>
  <c r="H6" i="79"/>
  <c r="H5" i="79"/>
  <c r="H4" i="79"/>
  <c r="H17" i="80"/>
  <c r="H16" i="80"/>
  <c r="H15" i="80"/>
  <c r="H14" i="80"/>
  <c r="H13" i="80"/>
  <c r="H12" i="80"/>
  <c r="H11" i="80"/>
  <c r="H10" i="80"/>
  <c r="H9" i="80"/>
  <c r="H8" i="80"/>
  <c r="H7" i="80"/>
  <c r="H6" i="80"/>
  <c r="H5" i="80"/>
  <c r="H4" i="80"/>
  <c r="H26" i="81"/>
  <c r="H25" i="81"/>
  <c r="H24" i="81"/>
  <c r="H23" i="81"/>
  <c r="H22" i="81"/>
  <c r="H21" i="81"/>
  <c r="H20" i="81"/>
  <c r="H19" i="81"/>
  <c r="H18" i="81"/>
  <c r="H17" i="81"/>
  <c r="H16" i="81"/>
  <c r="H15" i="81"/>
  <c r="H14" i="81"/>
  <c r="H13" i="81"/>
  <c r="H12" i="81"/>
  <c r="H11" i="81"/>
  <c r="H10" i="81"/>
  <c r="H9" i="81"/>
  <c r="H7" i="81"/>
  <c r="H6" i="81"/>
  <c r="H5" i="81"/>
  <c r="H4" i="81"/>
  <c r="H21" i="82"/>
  <c r="H20" i="82"/>
  <c r="H19" i="82"/>
  <c r="H18" i="82"/>
  <c r="H17" i="82"/>
  <c r="H16" i="82"/>
  <c r="H15" i="82"/>
  <c r="H14" i="82"/>
  <c r="H13" i="82"/>
  <c r="H12" i="82"/>
  <c r="H11" i="82"/>
  <c r="H10" i="82"/>
  <c r="H9" i="82"/>
  <c r="H8" i="82"/>
  <c r="H7" i="82"/>
  <c r="H6" i="82"/>
  <c r="H5" i="82"/>
  <c r="H4" i="82"/>
  <c r="H22" i="82" s="1"/>
  <c r="H21" i="83"/>
  <c r="H20" i="83"/>
  <c r="H19" i="83"/>
  <c r="H18" i="83"/>
  <c r="H17" i="83"/>
  <c r="H16" i="83"/>
  <c r="H15" i="83"/>
  <c r="H14" i="83"/>
  <c r="H13" i="83"/>
  <c r="H12" i="83"/>
  <c r="H11" i="83"/>
  <c r="H10" i="83"/>
  <c r="H9" i="83"/>
  <c r="H8" i="83"/>
  <c r="H7" i="83"/>
  <c r="H6" i="83"/>
  <c r="H5" i="83"/>
  <c r="H4" i="83"/>
  <c r="H22" i="83" s="1"/>
  <c r="H22" i="84"/>
  <c r="H21" i="84"/>
  <c r="H20" i="84"/>
  <c r="H19" i="84"/>
  <c r="H18" i="84"/>
  <c r="H17" i="84"/>
  <c r="H16" i="84"/>
  <c r="H15" i="84"/>
  <c r="H14" i="84"/>
  <c r="H13" i="84"/>
  <c r="H12" i="84"/>
  <c r="H11" i="84"/>
  <c r="H10" i="84"/>
  <c r="H9" i="84"/>
  <c r="H8" i="84"/>
  <c r="H7" i="84"/>
  <c r="H6" i="84"/>
  <c r="H5" i="84"/>
  <c r="H4" i="84"/>
  <c r="H23" i="85"/>
  <c r="H22" i="85"/>
  <c r="H21" i="85"/>
  <c r="H20" i="85"/>
  <c r="H19" i="85"/>
  <c r="H18" i="85"/>
  <c r="H17" i="85"/>
  <c r="H16" i="85"/>
  <c r="H15" i="85"/>
  <c r="H14" i="85"/>
  <c r="H13" i="85"/>
  <c r="H12" i="85"/>
  <c r="H11" i="85"/>
  <c r="H10" i="85"/>
  <c r="H9" i="85"/>
  <c r="H8" i="85"/>
  <c r="H7" i="85"/>
  <c r="H6" i="85"/>
  <c r="H5" i="85"/>
  <c r="H4" i="85"/>
  <c r="H21" i="86"/>
  <c r="H20" i="86"/>
  <c r="H19" i="86"/>
  <c r="H18" i="86"/>
  <c r="H17" i="86"/>
  <c r="H16" i="86"/>
  <c r="H15" i="86"/>
  <c r="H14" i="86"/>
  <c r="H13" i="86"/>
  <c r="H12" i="86"/>
  <c r="H11" i="86"/>
  <c r="H10" i="86"/>
  <c r="H9" i="86"/>
  <c r="H8" i="86"/>
  <c r="H7" i="86"/>
  <c r="H6" i="86"/>
  <c r="H5" i="86"/>
  <c r="H4" i="86"/>
  <c r="H22" i="87"/>
  <c r="H21" i="87"/>
  <c r="H20" i="87"/>
  <c r="H19" i="87"/>
  <c r="H18" i="87"/>
  <c r="H17" i="87"/>
  <c r="H16" i="87"/>
  <c r="H15" i="87"/>
  <c r="H14" i="87"/>
  <c r="H13" i="87"/>
  <c r="H12" i="87"/>
  <c r="H11" i="87"/>
  <c r="H10" i="87"/>
  <c r="H9" i="87"/>
  <c r="H8" i="87"/>
  <c r="H7" i="87"/>
  <c r="H6" i="87"/>
  <c r="H5" i="87"/>
  <c r="H4" i="87"/>
  <c r="H23" i="87" s="1"/>
  <c r="H23" i="88"/>
  <c r="H22" i="88"/>
  <c r="H21" i="88"/>
  <c r="H20" i="88"/>
  <c r="H19" i="88"/>
  <c r="H18" i="88"/>
  <c r="H17" i="88"/>
  <c r="H16" i="88"/>
  <c r="H15" i="88"/>
  <c r="H14" i="88"/>
  <c r="H13" i="88"/>
  <c r="H12" i="88"/>
  <c r="H11" i="88"/>
  <c r="H10" i="88"/>
  <c r="H9" i="88"/>
  <c r="H8" i="88"/>
  <c r="H7" i="88"/>
  <c r="H6" i="88"/>
  <c r="H5" i="88"/>
  <c r="H4" i="88"/>
  <c r="H24" i="88" s="1"/>
  <c r="H19" i="89"/>
  <c r="H18" i="89"/>
  <c r="H17" i="89"/>
  <c r="H16" i="89"/>
  <c r="H15" i="89"/>
  <c r="H14" i="89"/>
  <c r="H13" i="89"/>
  <c r="H12" i="89"/>
  <c r="H11" i="89"/>
  <c r="H10" i="89"/>
  <c r="H9" i="89"/>
  <c r="H8" i="89"/>
  <c r="H7" i="89"/>
  <c r="H6" i="89"/>
  <c r="H5" i="89"/>
  <c r="H4" i="89"/>
  <c r="H22" i="90"/>
  <c r="H21" i="90"/>
  <c r="H20" i="90"/>
  <c r="H19" i="90"/>
  <c r="H18" i="90"/>
  <c r="H17" i="90"/>
  <c r="H16" i="90"/>
  <c r="H15" i="90"/>
  <c r="H14" i="90"/>
  <c r="H13" i="90"/>
  <c r="H12" i="90"/>
  <c r="H11" i="90"/>
  <c r="H10" i="90"/>
  <c r="H9" i="90"/>
  <c r="H8" i="90"/>
  <c r="H7" i="90"/>
  <c r="H6" i="90"/>
  <c r="H5" i="90"/>
  <c r="H4" i="90"/>
  <c r="H18" i="91"/>
  <c r="H17" i="91"/>
  <c r="H16" i="91"/>
  <c r="H15" i="91"/>
  <c r="H14" i="91"/>
  <c r="H13" i="91"/>
  <c r="H12" i="91"/>
  <c r="H11" i="91"/>
  <c r="H10" i="91"/>
  <c r="H9" i="91"/>
  <c r="H8" i="91"/>
  <c r="H7" i="91"/>
  <c r="H6" i="91"/>
  <c r="H5" i="91"/>
  <c r="H4" i="91"/>
  <c r="H19" i="91" s="1"/>
  <c r="H21" i="92"/>
  <c r="H20" i="92"/>
  <c r="H19" i="92"/>
  <c r="H18" i="92"/>
  <c r="H17" i="92"/>
  <c r="H16" i="92"/>
  <c r="H15" i="92"/>
  <c r="H14" i="92"/>
  <c r="H13" i="92"/>
  <c r="H12" i="92"/>
  <c r="H11" i="92"/>
  <c r="H10" i="92"/>
  <c r="H9" i="92"/>
  <c r="H8" i="92"/>
  <c r="H7" i="92"/>
  <c r="H6" i="92"/>
  <c r="H5" i="92"/>
  <c r="H4" i="92"/>
  <c r="H24" i="93"/>
  <c r="H23" i="93"/>
  <c r="H22" i="93"/>
  <c r="H21" i="93"/>
  <c r="H20" i="93"/>
  <c r="H19" i="93"/>
  <c r="H18" i="93"/>
  <c r="H17" i="93"/>
  <c r="H16" i="93"/>
  <c r="H15" i="93"/>
  <c r="H14" i="93"/>
  <c r="H13" i="93"/>
  <c r="H12" i="93"/>
  <c r="H11" i="93"/>
  <c r="H10" i="93"/>
  <c r="H9" i="93"/>
  <c r="H8" i="93"/>
  <c r="H7" i="93"/>
  <c r="H6" i="93"/>
  <c r="H5" i="93"/>
  <c r="H4" i="93"/>
  <c r="H22" i="94"/>
  <c r="H21" i="94"/>
  <c r="H20" i="94"/>
  <c r="H19" i="94"/>
  <c r="H18" i="94"/>
  <c r="H17" i="94"/>
  <c r="H16" i="94"/>
  <c r="H15" i="94"/>
  <c r="H14" i="94"/>
  <c r="H13" i="94"/>
  <c r="H12" i="94"/>
  <c r="H11" i="94"/>
  <c r="H10" i="94"/>
  <c r="H8" i="94"/>
  <c r="H7" i="94"/>
  <c r="H6" i="94"/>
  <c r="H5" i="94"/>
  <c r="H4" i="94"/>
  <c r="H17" i="95"/>
  <c r="H16" i="95"/>
  <c r="H15" i="95"/>
  <c r="H14" i="95"/>
  <c r="H13" i="95"/>
  <c r="H12" i="95"/>
  <c r="H11" i="95"/>
  <c r="H10" i="95"/>
  <c r="H9" i="95"/>
  <c r="H8" i="95"/>
  <c r="H6" i="95"/>
  <c r="H5" i="95"/>
  <c r="H17" i="96"/>
  <c r="H16" i="96"/>
  <c r="H15" i="96"/>
  <c r="H14" i="96"/>
  <c r="H13" i="96"/>
  <c r="H12" i="96"/>
  <c r="H11" i="96"/>
  <c r="H10" i="96"/>
  <c r="H9" i="96"/>
  <c r="H8" i="96"/>
  <c r="H7" i="96"/>
  <c r="H6" i="96"/>
  <c r="H5" i="96"/>
  <c r="H4" i="96"/>
  <c r="H19" i="97"/>
  <c r="H18" i="97"/>
  <c r="H17" i="97"/>
  <c r="H16" i="97"/>
  <c r="H15" i="97"/>
  <c r="H14" i="97"/>
  <c r="H13" i="97"/>
  <c r="H12" i="97"/>
  <c r="H11" i="97"/>
  <c r="H10" i="97"/>
  <c r="H9" i="97"/>
  <c r="H8" i="97"/>
  <c r="H7" i="97"/>
  <c r="H6" i="97"/>
  <c r="H5" i="97"/>
  <c r="H4" i="97"/>
  <c r="H20" i="97" s="1"/>
  <c r="H17" i="98"/>
  <c r="H16" i="98"/>
  <c r="H15" i="98"/>
  <c r="H14" i="98"/>
  <c r="H13" i="98"/>
  <c r="H12" i="98"/>
  <c r="H11" i="98"/>
  <c r="H10" i="98"/>
  <c r="H9" i="98"/>
  <c r="H8" i="98"/>
  <c r="H7" i="98"/>
  <c r="H6" i="98"/>
  <c r="H5" i="98"/>
  <c r="H4" i="98"/>
  <c r="H22" i="99"/>
  <c r="H21" i="99"/>
  <c r="H20" i="99"/>
  <c r="H19" i="99"/>
  <c r="H18" i="99"/>
  <c r="H17" i="99"/>
  <c r="H16" i="99"/>
  <c r="H15" i="99"/>
  <c r="H14" i="99"/>
  <c r="H13" i="99"/>
  <c r="H12" i="99"/>
  <c r="H11" i="99"/>
  <c r="H10" i="99"/>
  <c r="H9" i="99"/>
  <c r="H8" i="99"/>
  <c r="H7" i="99"/>
  <c r="H6" i="99"/>
  <c r="H5" i="99"/>
  <c r="H4" i="99"/>
  <c r="H23" i="99" s="1"/>
  <c r="H23" i="100"/>
  <c r="H22" i="100"/>
  <c r="H21" i="100"/>
  <c r="H20" i="100"/>
  <c r="H19" i="100"/>
  <c r="H18" i="100"/>
  <c r="H17" i="100"/>
  <c r="H16" i="100"/>
  <c r="H15" i="100"/>
  <c r="H14" i="100"/>
  <c r="H13" i="100"/>
  <c r="H12" i="100"/>
  <c r="H11" i="100"/>
  <c r="H10" i="100"/>
  <c r="H9" i="100"/>
  <c r="H8" i="100"/>
  <c r="H7" i="100"/>
  <c r="H6" i="100"/>
  <c r="H5" i="100"/>
  <c r="H4" i="100"/>
  <c r="H24" i="100" s="1"/>
  <c r="H20" i="101"/>
  <c r="H19" i="101"/>
  <c r="H18" i="101"/>
  <c r="H17" i="101"/>
  <c r="H16" i="101"/>
  <c r="H15" i="101"/>
  <c r="H14" i="101"/>
  <c r="H13" i="101"/>
  <c r="H12" i="101"/>
  <c r="H11" i="101"/>
  <c r="H10" i="101"/>
  <c r="H9" i="101"/>
  <c r="H8" i="101"/>
  <c r="H7" i="101"/>
  <c r="H6" i="101"/>
  <c r="H5" i="101"/>
  <c r="H4" i="101"/>
  <c r="H29" i="102"/>
  <c r="H28" i="102"/>
  <c r="H20" i="102"/>
  <c r="H19" i="102"/>
  <c r="H18" i="102"/>
  <c r="H17" i="102"/>
  <c r="H16" i="102"/>
  <c r="H15" i="102"/>
  <c r="G10" i="102"/>
  <c r="H10" i="102" s="1"/>
  <c r="G9" i="102"/>
  <c r="H9" i="102" s="1"/>
  <c r="G8" i="102"/>
  <c r="H8" i="102" s="1"/>
  <c r="G7" i="102"/>
  <c r="H7" i="102" s="1"/>
  <c r="H5" i="102"/>
  <c r="H4" i="102"/>
  <c r="H22" i="10"/>
  <c r="H21" i="10"/>
  <c r="H20" i="10"/>
  <c r="H19" i="10"/>
  <c r="H18" i="10"/>
  <c r="H17" i="10"/>
  <c r="H16" i="10"/>
  <c r="H15" i="10"/>
  <c r="H14" i="10"/>
  <c r="H13" i="10"/>
  <c r="H12" i="10"/>
  <c r="H11" i="10"/>
  <c r="H10" i="10"/>
  <c r="H9" i="10"/>
  <c r="H8" i="10"/>
  <c r="H7" i="10"/>
  <c r="H6" i="10"/>
  <c r="H5" i="10"/>
  <c r="H4" i="10"/>
  <c r="H23" i="10" s="1"/>
  <c r="H19" i="9"/>
  <c r="H18" i="9"/>
  <c r="H17" i="9"/>
  <c r="H16" i="9"/>
  <c r="H15" i="9"/>
  <c r="H14" i="9"/>
  <c r="H13" i="9"/>
  <c r="H12" i="9"/>
  <c r="H11" i="9"/>
  <c r="H10" i="9"/>
  <c r="H9" i="9"/>
  <c r="H8" i="9"/>
  <c r="H7" i="9"/>
  <c r="H5" i="9"/>
  <c r="H4" i="9"/>
  <c r="H17" i="8"/>
  <c r="H16" i="8"/>
  <c r="H15" i="8"/>
  <c r="H14" i="8"/>
  <c r="H13" i="8"/>
  <c r="H12" i="8"/>
  <c r="H11" i="8"/>
  <c r="H10" i="8"/>
  <c r="H9" i="8"/>
  <c r="H8" i="8"/>
  <c r="H7" i="8"/>
  <c r="H6" i="8"/>
  <c r="H5" i="8"/>
  <c r="H4" i="8"/>
  <c r="H18" i="8" s="1"/>
  <c r="H19" i="7"/>
  <c r="H18" i="7"/>
  <c r="H17" i="7"/>
  <c r="H16" i="7"/>
  <c r="H15" i="7"/>
  <c r="H14" i="7"/>
  <c r="H13" i="7"/>
  <c r="H12" i="7"/>
  <c r="H11" i="7"/>
  <c r="H10" i="7"/>
  <c r="H9" i="7"/>
  <c r="H8" i="7"/>
  <c r="H7" i="7"/>
  <c r="H6" i="7"/>
  <c r="H5" i="7"/>
  <c r="H4" i="7"/>
  <c r="H20" i="7" s="1"/>
  <c r="F22" i="6"/>
  <c r="F21" i="6"/>
  <c r="F20" i="6"/>
  <c r="F19" i="6"/>
  <c r="F18" i="6"/>
  <c r="F17" i="6"/>
  <c r="F16" i="6"/>
  <c r="F15" i="6"/>
  <c r="F14" i="6"/>
  <c r="F13" i="6"/>
  <c r="F12" i="6"/>
  <c r="F11" i="6"/>
  <c r="F10" i="6"/>
  <c r="F9" i="6"/>
  <c r="F8" i="6"/>
  <c r="F7" i="6"/>
  <c r="F6" i="6"/>
  <c r="F5" i="6"/>
  <c r="H22" i="6"/>
  <c r="H21" i="6"/>
  <c r="H20" i="6"/>
  <c r="H19" i="6"/>
  <c r="H18" i="6"/>
  <c r="H17" i="6"/>
  <c r="H16" i="6"/>
  <c r="H15" i="6"/>
  <c r="H14" i="6"/>
  <c r="H13" i="6"/>
  <c r="H12" i="6"/>
  <c r="H11" i="6"/>
  <c r="H10" i="6"/>
  <c r="H9" i="6"/>
  <c r="H8" i="6"/>
  <c r="H7" i="6"/>
  <c r="H6" i="6"/>
  <c r="H4" i="6"/>
  <c r="N5" i="104"/>
  <c r="O5" i="104"/>
  <c r="AC5" i="104"/>
  <c r="D9" i="101"/>
  <c r="D7" i="24"/>
  <c r="D6" i="100"/>
  <c r="D18" i="102"/>
  <c r="AF10" i="104" s="1"/>
  <c r="J19" i="43"/>
  <c r="J18" i="43"/>
  <c r="J17" i="43"/>
  <c r="J16" i="43"/>
  <c r="J15" i="43"/>
  <c r="J14" i="43"/>
  <c r="J13" i="43"/>
  <c r="J12" i="43"/>
  <c r="J11" i="43"/>
  <c r="J10" i="43"/>
  <c r="J9" i="43"/>
  <c r="J8" i="43"/>
  <c r="J7" i="43"/>
  <c r="J5" i="43"/>
  <c r="J4" i="43"/>
  <c r="H22" i="22" l="1"/>
  <c r="H19" i="19"/>
  <c r="H29" i="17"/>
  <c r="H24" i="49"/>
  <c r="H18" i="71"/>
  <c r="H25" i="33"/>
  <c r="H25" i="21"/>
  <c r="H18" i="56"/>
  <c r="H26" i="11"/>
  <c r="H22" i="30"/>
  <c r="H21" i="24"/>
  <c r="H23" i="94"/>
  <c r="H23" i="84"/>
  <c r="H25" i="45"/>
  <c r="H18" i="96"/>
  <c r="H18" i="98"/>
  <c r="H28" i="105"/>
  <c r="H28" i="67"/>
  <c r="H20" i="89"/>
  <c r="H24" i="58"/>
  <c r="H22" i="79"/>
  <c r="H18" i="80"/>
  <c r="H22" i="86"/>
  <c r="H25" i="66"/>
  <c r="H22" i="92"/>
  <c r="H23" i="90"/>
  <c r="H21" i="101"/>
  <c r="H25" i="47"/>
  <c r="H25" i="93"/>
  <c r="H25" i="48"/>
  <c r="H20" i="14"/>
  <c r="H24" i="59"/>
  <c r="H23" i="68"/>
  <c r="H18" i="70"/>
  <c r="H19" i="18"/>
  <c r="H27" i="63"/>
  <c r="H24" i="85"/>
  <c r="H22" i="12"/>
  <c r="H15" i="57"/>
  <c r="J18" i="71"/>
  <c r="D8" i="18"/>
  <c r="D8" i="17"/>
  <c r="D6" i="80"/>
  <c r="J6" i="12"/>
  <c r="C4" i="22"/>
  <c r="D4" i="22" s="1"/>
  <c r="C8" i="29"/>
  <c r="D8" i="12"/>
  <c r="D8" i="106"/>
  <c r="D17" i="75"/>
  <c r="D8" i="38"/>
  <c r="D5" i="72"/>
  <c r="F6" i="72"/>
  <c r="J6" i="72"/>
  <c r="F7" i="72"/>
  <c r="J7" i="72"/>
  <c r="F8" i="72"/>
  <c r="J8" i="72"/>
  <c r="F9" i="72"/>
  <c r="J9" i="72"/>
  <c r="F10" i="72"/>
  <c r="J10" i="72"/>
  <c r="F11" i="72"/>
  <c r="J11" i="72"/>
  <c r="F12" i="72"/>
  <c r="J12" i="72"/>
  <c r="F13" i="72"/>
  <c r="J13" i="72"/>
  <c r="F14" i="72"/>
  <c r="J14" i="72"/>
  <c r="F15" i="72"/>
  <c r="J15" i="72"/>
  <c r="F16" i="72"/>
  <c r="J16" i="72"/>
  <c r="F17" i="72"/>
  <c r="J17" i="72"/>
  <c r="F18" i="72"/>
  <c r="J18" i="72"/>
  <c r="F19" i="72"/>
  <c r="J19" i="72"/>
  <c r="F20" i="72"/>
  <c r="J20" i="72"/>
  <c r="D8" i="77"/>
  <c r="D18" i="75"/>
  <c r="D6" i="64"/>
  <c r="D7" i="33"/>
  <c r="D6" i="33"/>
  <c r="D9" i="70"/>
  <c r="D8" i="86"/>
  <c r="D6" i="52"/>
  <c r="D14" i="23"/>
  <c r="D15" i="23"/>
  <c r="D8" i="29"/>
  <c r="J10" i="102"/>
  <c r="D11" i="14"/>
  <c r="D11" i="19"/>
  <c r="D5" i="44"/>
  <c r="D9" i="60"/>
  <c r="F17" i="75"/>
  <c r="J17" i="75"/>
  <c r="F18" i="75"/>
  <c r="J18" i="75"/>
  <c r="F19" i="75"/>
  <c r="J19" i="75"/>
  <c r="F20" i="75"/>
  <c r="J20" i="75"/>
  <c r="F21" i="75"/>
  <c r="J21" i="75"/>
  <c r="F22" i="75"/>
  <c r="J22" i="75"/>
  <c r="F23" i="75"/>
  <c r="J23" i="75"/>
  <c r="F24" i="75"/>
  <c r="J24" i="75"/>
  <c r="F25" i="75"/>
  <c r="J25" i="75"/>
  <c r="F26" i="75"/>
  <c r="J26" i="75"/>
  <c r="D16" i="75"/>
  <c r="D17" i="102"/>
  <c r="D16" i="102"/>
  <c r="D8" i="69"/>
  <c r="D10" i="59"/>
  <c r="D13" i="23"/>
  <c r="D12" i="23"/>
  <c r="D8" i="15"/>
  <c r="D7" i="65"/>
  <c r="D10" i="88"/>
  <c r="D9" i="95"/>
  <c r="D12" i="89"/>
  <c r="D6" i="90"/>
  <c r="D7" i="77"/>
  <c r="C8" i="27"/>
  <c r="D8" i="27"/>
  <c r="C7" i="85"/>
  <c r="D7" i="84"/>
  <c r="D8" i="67"/>
  <c r="D7" i="67"/>
  <c r="D6" i="67"/>
  <c r="D9" i="92"/>
  <c r="B7" i="85"/>
  <c r="A7" i="85"/>
  <c r="D8" i="82"/>
  <c r="D6" i="85"/>
  <c r="D8" i="32"/>
  <c r="D7" i="15"/>
  <c r="D13" i="28"/>
  <c r="D15" i="102"/>
  <c r="D9" i="63"/>
  <c r="F7" i="55"/>
  <c r="F6" i="55"/>
  <c r="F5" i="55"/>
  <c r="F4" i="55"/>
  <c r="J25" i="11"/>
  <c r="J24" i="11"/>
  <c r="J23" i="11"/>
  <c r="J22" i="11"/>
  <c r="J21" i="11"/>
  <c r="J20" i="11"/>
  <c r="J19" i="11"/>
  <c r="J18" i="11"/>
  <c r="J17" i="11"/>
  <c r="J16" i="11"/>
  <c r="J15" i="11"/>
  <c r="J14" i="11"/>
  <c r="J13" i="11"/>
  <c r="J12" i="11"/>
  <c r="J11" i="11"/>
  <c r="J10" i="11"/>
  <c r="J9" i="11"/>
  <c r="J8" i="11"/>
  <c r="J7" i="11"/>
  <c r="J6" i="11"/>
  <c r="J5" i="11"/>
  <c r="J4" i="11"/>
  <c r="J21" i="12"/>
  <c r="J20" i="12"/>
  <c r="J19" i="12"/>
  <c r="J18" i="12"/>
  <c r="J17" i="12"/>
  <c r="J16" i="12"/>
  <c r="J15" i="12"/>
  <c r="J14" i="12"/>
  <c r="J13" i="12"/>
  <c r="J12" i="12"/>
  <c r="J11" i="12"/>
  <c r="J10" i="12"/>
  <c r="J9" i="12"/>
  <c r="J8" i="12"/>
  <c r="J7" i="12"/>
  <c r="J5" i="12"/>
  <c r="J4" i="12"/>
  <c r="J22" i="13"/>
  <c r="J21" i="13"/>
  <c r="J20" i="13"/>
  <c r="J19" i="13"/>
  <c r="J18" i="13"/>
  <c r="J17" i="13"/>
  <c r="J16" i="13"/>
  <c r="J15" i="13"/>
  <c r="J14" i="13"/>
  <c r="J13" i="13"/>
  <c r="J12" i="13"/>
  <c r="J11" i="13"/>
  <c r="J10" i="13"/>
  <c r="J9" i="13"/>
  <c r="J8" i="13"/>
  <c r="J7" i="13"/>
  <c r="J6" i="13"/>
  <c r="J5" i="13"/>
  <c r="J19" i="14"/>
  <c r="J18" i="14"/>
  <c r="J17" i="14"/>
  <c r="J16" i="14"/>
  <c r="J15" i="14"/>
  <c r="J14" i="14"/>
  <c r="J13" i="14"/>
  <c r="J12" i="14"/>
  <c r="J11" i="14"/>
  <c r="J10" i="14"/>
  <c r="J9" i="14"/>
  <c r="J8" i="14"/>
  <c r="J7" i="14"/>
  <c r="J6" i="14"/>
  <c r="J5" i="14"/>
  <c r="J4" i="14"/>
  <c r="J25" i="15"/>
  <c r="J24" i="15"/>
  <c r="J23" i="15"/>
  <c r="J22" i="15"/>
  <c r="J21" i="15"/>
  <c r="J20" i="15"/>
  <c r="J19" i="15"/>
  <c r="J18" i="15"/>
  <c r="J17" i="15"/>
  <c r="J16" i="15"/>
  <c r="J15" i="15"/>
  <c r="J14" i="15"/>
  <c r="J13" i="15"/>
  <c r="J12" i="15"/>
  <c r="J11" i="15"/>
  <c r="J10" i="15"/>
  <c r="J9" i="15"/>
  <c r="J8" i="15"/>
  <c r="J7" i="15"/>
  <c r="J6" i="15"/>
  <c r="J5" i="15"/>
  <c r="J4" i="15"/>
  <c r="J19" i="16"/>
  <c r="J18" i="16"/>
  <c r="J17" i="16"/>
  <c r="J16" i="16"/>
  <c r="J15" i="16"/>
  <c r="J14" i="16"/>
  <c r="J13" i="16"/>
  <c r="J12" i="16"/>
  <c r="J11" i="16"/>
  <c r="J10" i="16"/>
  <c r="J9" i="16"/>
  <c r="J8" i="16"/>
  <c r="J7" i="16"/>
  <c r="J6" i="16"/>
  <c r="J5" i="16"/>
  <c r="J4" i="16"/>
  <c r="J27" i="105"/>
  <c r="J26" i="105"/>
  <c r="J25" i="105"/>
  <c r="J24" i="105"/>
  <c r="J23" i="105"/>
  <c r="J22" i="105"/>
  <c r="J21" i="105"/>
  <c r="J20" i="105"/>
  <c r="J19" i="105"/>
  <c r="J18" i="105"/>
  <c r="J17" i="105"/>
  <c r="J16" i="105"/>
  <c r="J15" i="105"/>
  <c r="J14" i="105"/>
  <c r="J13" i="105"/>
  <c r="J12" i="105"/>
  <c r="J11" i="105"/>
  <c r="J10" i="105"/>
  <c r="J9" i="105"/>
  <c r="J8" i="105"/>
  <c r="J7" i="105"/>
  <c r="J6" i="105"/>
  <c r="J5" i="105"/>
  <c r="J4" i="105"/>
  <c r="J28" i="17"/>
  <c r="J27" i="17"/>
  <c r="J26" i="17"/>
  <c r="J25" i="17"/>
  <c r="J24" i="17"/>
  <c r="J23" i="17"/>
  <c r="J22" i="17"/>
  <c r="J21" i="17"/>
  <c r="J20" i="17"/>
  <c r="J19" i="17"/>
  <c r="J18" i="17"/>
  <c r="J17" i="17"/>
  <c r="J16" i="17"/>
  <c r="J15" i="17"/>
  <c r="J14" i="17"/>
  <c r="J13" i="17"/>
  <c r="J12" i="17"/>
  <c r="J11" i="17"/>
  <c r="J10" i="17"/>
  <c r="J9" i="17"/>
  <c r="J8" i="17"/>
  <c r="J7" i="17"/>
  <c r="J6" i="17"/>
  <c r="J5" i="17"/>
  <c r="J4" i="17"/>
  <c r="J18" i="18"/>
  <c r="J17" i="18"/>
  <c r="J16" i="18"/>
  <c r="J15" i="18"/>
  <c r="J14" i="18"/>
  <c r="J13" i="18"/>
  <c r="J12" i="18"/>
  <c r="J11" i="18"/>
  <c r="J10" i="18"/>
  <c r="J9" i="18"/>
  <c r="J8" i="18"/>
  <c r="J7" i="18"/>
  <c r="J6" i="18"/>
  <c r="J5" i="18"/>
  <c r="J4" i="18"/>
  <c r="J18" i="19"/>
  <c r="J17" i="19"/>
  <c r="J16" i="19"/>
  <c r="J15" i="19"/>
  <c r="J14" i="19"/>
  <c r="J13" i="19"/>
  <c r="J12" i="19"/>
  <c r="J11" i="19"/>
  <c r="J10" i="19"/>
  <c r="J9" i="19"/>
  <c r="J8" i="19"/>
  <c r="J7" i="19"/>
  <c r="J6" i="19"/>
  <c r="J5" i="19"/>
  <c r="J4" i="19"/>
  <c r="J23" i="20"/>
  <c r="J22" i="20"/>
  <c r="J21" i="20"/>
  <c r="J20" i="20"/>
  <c r="J19" i="20"/>
  <c r="J18" i="20"/>
  <c r="J17" i="20"/>
  <c r="J16" i="20"/>
  <c r="J15" i="20"/>
  <c r="J14" i="20"/>
  <c r="J13" i="20"/>
  <c r="J12" i="20"/>
  <c r="J11" i="20"/>
  <c r="J10" i="20"/>
  <c r="J9" i="20"/>
  <c r="J8" i="20"/>
  <c r="J7" i="20"/>
  <c r="J6" i="20"/>
  <c r="J24" i="21"/>
  <c r="J23" i="21"/>
  <c r="J22" i="21"/>
  <c r="J21" i="21"/>
  <c r="J20" i="21"/>
  <c r="J19" i="21"/>
  <c r="J18" i="21"/>
  <c r="J17" i="21"/>
  <c r="J16" i="21"/>
  <c r="J15" i="21"/>
  <c r="J14" i="21"/>
  <c r="J13" i="21"/>
  <c r="J12" i="21"/>
  <c r="J11" i="21"/>
  <c r="J10" i="21"/>
  <c r="J9" i="21"/>
  <c r="J8" i="21"/>
  <c r="J7" i="21"/>
  <c r="J6" i="21"/>
  <c r="J5" i="21"/>
  <c r="J4" i="21"/>
  <c r="J21" i="22"/>
  <c r="J5" i="22"/>
  <c r="J4" i="22"/>
  <c r="J27" i="23"/>
  <c r="J26" i="23"/>
  <c r="J25" i="23"/>
  <c r="J24" i="23"/>
  <c r="J23" i="23"/>
  <c r="J22" i="23"/>
  <c r="J21" i="23"/>
  <c r="J20" i="23"/>
  <c r="J19" i="23"/>
  <c r="J18" i="23"/>
  <c r="J15" i="23"/>
  <c r="J14" i="23"/>
  <c r="J13" i="23"/>
  <c r="J12" i="23"/>
  <c r="J10" i="23"/>
  <c r="J8" i="23"/>
  <c r="J7" i="23"/>
  <c r="J6" i="23"/>
  <c r="J5" i="23"/>
  <c r="J4" i="23"/>
  <c r="J20" i="24"/>
  <c r="J19" i="24"/>
  <c r="J18" i="24"/>
  <c r="J17" i="24"/>
  <c r="J16" i="24"/>
  <c r="J15" i="24"/>
  <c r="J14" i="24"/>
  <c r="J13" i="24"/>
  <c r="J12" i="24"/>
  <c r="J11" i="24"/>
  <c r="J10" i="24"/>
  <c r="J9" i="24"/>
  <c r="J8" i="24"/>
  <c r="J7" i="24"/>
  <c r="J6" i="24"/>
  <c r="J5" i="24"/>
  <c r="J4" i="24"/>
  <c r="J20" i="25"/>
  <c r="J19" i="25"/>
  <c r="J18" i="25"/>
  <c r="J17" i="25"/>
  <c r="J16" i="25"/>
  <c r="J15" i="25"/>
  <c r="J14" i="25"/>
  <c r="J13" i="25"/>
  <c r="J12" i="25"/>
  <c r="J11" i="25"/>
  <c r="J10" i="25"/>
  <c r="J9" i="25"/>
  <c r="J8" i="25"/>
  <c r="J7" i="25"/>
  <c r="J6" i="25"/>
  <c r="J5" i="25"/>
  <c r="J4" i="25"/>
  <c r="J5" i="26"/>
  <c r="J4" i="26"/>
  <c r="J17" i="27"/>
  <c r="J16" i="27"/>
  <c r="J15" i="27"/>
  <c r="J14" i="27"/>
  <c r="J13" i="27"/>
  <c r="J12" i="27"/>
  <c r="J11" i="27"/>
  <c r="J10" i="27"/>
  <c r="J9" i="27"/>
  <c r="J8" i="27"/>
  <c r="J7" i="27"/>
  <c r="J6" i="27"/>
  <c r="J5" i="27"/>
  <c r="J4" i="27"/>
  <c r="J22" i="28"/>
  <c r="J21" i="28"/>
  <c r="J20" i="28"/>
  <c r="J19" i="28"/>
  <c r="J18" i="28"/>
  <c r="J17" i="28"/>
  <c r="J16" i="28"/>
  <c r="J15" i="28"/>
  <c r="J14" i="28"/>
  <c r="J13" i="28"/>
  <c r="J12" i="28"/>
  <c r="J9" i="28"/>
  <c r="J8" i="28"/>
  <c r="J7" i="28"/>
  <c r="J6" i="28"/>
  <c r="J5" i="28"/>
  <c r="J4" i="28"/>
  <c r="J16" i="29"/>
  <c r="J15" i="29"/>
  <c r="J14" i="29"/>
  <c r="J13" i="29"/>
  <c r="J12" i="29"/>
  <c r="J11" i="29"/>
  <c r="J10" i="29"/>
  <c r="J9" i="29"/>
  <c r="J8" i="29"/>
  <c r="J7" i="29"/>
  <c r="J6" i="29"/>
  <c r="J5" i="29"/>
  <c r="J4" i="29"/>
  <c r="J21" i="30"/>
  <c r="J20" i="30"/>
  <c r="J19" i="30"/>
  <c r="J18" i="30"/>
  <c r="J17" i="30"/>
  <c r="J16" i="30"/>
  <c r="J15" i="30"/>
  <c r="J14" i="30"/>
  <c r="J13" i="30"/>
  <c r="J12" i="30"/>
  <c r="J11" i="30"/>
  <c r="J10" i="30"/>
  <c r="J9" i="30"/>
  <c r="J8" i="30"/>
  <c r="J7" i="30"/>
  <c r="J6" i="30"/>
  <c r="J5" i="30"/>
  <c r="J4" i="30"/>
  <c r="J22" i="31"/>
  <c r="J21" i="31"/>
  <c r="J20" i="31"/>
  <c r="J19" i="31"/>
  <c r="J18" i="31"/>
  <c r="J17" i="31"/>
  <c r="J16" i="31"/>
  <c r="J15" i="31"/>
  <c r="J14" i="31"/>
  <c r="J13" i="31"/>
  <c r="J12" i="31"/>
  <c r="J11" i="31"/>
  <c r="J10" i="31"/>
  <c r="J9" i="31"/>
  <c r="J8" i="31"/>
  <c r="J7" i="31"/>
  <c r="J6" i="31"/>
  <c r="J5" i="31"/>
  <c r="J4" i="31"/>
  <c r="J22" i="32"/>
  <c r="J21" i="32"/>
  <c r="J20" i="32"/>
  <c r="J19" i="32"/>
  <c r="J18" i="32"/>
  <c r="J17" i="32"/>
  <c r="J16" i="32"/>
  <c r="J15" i="32"/>
  <c r="J14" i="32"/>
  <c r="J13" i="32"/>
  <c r="J12" i="32"/>
  <c r="J11" i="32"/>
  <c r="J10" i="32"/>
  <c r="J9" i="32"/>
  <c r="J8" i="32"/>
  <c r="J7" i="32"/>
  <c r="J5" i="32"/>
  <c r="J4" i="32"/>
  <c r="J24" i="33"/>
  <c r="J23" i="33"/>
  <c r="J22" i="33"/>
  <c r="J21" i="33"/>
  <c r="J20" i="33"/>
  <c r="J19" i="33"/>
  <c r="J18" i="33"/>
  <c r="J17" i="33"/>
  <c r="J16" i="33"/>
  <c r="J15" i="33"/>
  <c r="J14" i="33"/>
  <c r="J13" i="33"/>
  <c r="J12" i="33"/>
  <c r="J11" i="33"/>
  <c r="J10" i="33"/>
  <c r="J9" i="33"/>
  <c r="J8" i="33"/>
  <c r="J7" i="33"/>
  <c r="J6" i="33"/>
  <c r="J5" i="33"/>
  <c r="J4" i="33"/>
  <c r="J18" i="34"/>
  <c r="J17" i="34"/>
  <c r="J16" i="34"/>
  <c r="J15" i="34"/>
  <c r="J14" i="34"/>
  <c r="J13" i="34"/>
  <c r="J12" i="34"/>
  <c r="J11" i="34"/>
  <c r="J10" i="34"/>
  <c r="J9" i="34"/>
  <c r="J8" i="34"/>
  <c r="J7" i="34"/>
  <c r="J6" i="34"/>
  <c r="J5" i="34"/>
  <c r="J4" i="34"/>
  <c r="J20" i="35"/>
  <c r="J19" i="35"/>
  <c r="J18" i="35"/>
  <c r="J17" i="35"/>
  <c r="J16" i="35"/>
  <c r="J15" i="35"/>
  <c r="J14" i="35"/>
  <c r="J13" i="35"/>
  <c r="J12" i="35"/>
  <c r="J11" i="35"/>
  <c r="J10" i="35"/>
  <c r="J9" i="35"/>
  <c r="J8" i="35"/>
  <c r="J7" i="35"/>
  <c r="J6" i="35"/>
  <c r="J5" i="35"/>
  <c r="J4" i="35"/>
  <c r="J30" i="36"/>
  <c r="J29" i="36"/>
  <c r="J28" i="36"/>
  <c r="J27" i="36"/>
  <c r="J26" i="36"/>
  <c r="J25" i="36"/>
  <c r="J24" i="36"/>
  <c r="J23" i="36"/>
  <c r="J22" i="36"/>
  <c r="J21" i="36"/>
  <c r="J20" i="36"/>
  <c r="J19" i="36"/>
  <c r="J18" i="36"/>
  <c r="J17" i="36"/>
  <c r="J16" i="36"/>
  <c r="J15" i="36"/>
  <c r="J14" i="36"/>
  <c r="J13" i="36"/>
  <c r="J12" i="36"/>
  <c r="J11" i="36"/>
  <c r="J10" i="36"/>
  <c r="J9" i="36"/>
  <c r="J8" i="36"/>
  <c r="J7" i="36"/>
  <c r="J6" i="36"/>
  <c r="J5" i="36"/>
  <c r="J4" i="36"/>
  <c r="J21" i="37"/>
  <c r="J20" i="37"/>
  <c r="J19" i="37"/>
  <c r="J18" i="37"/>
  <c r="J17" i="37"/>
  <c r="J16" i="37"/>
  <c r="J15" i="37"/>
  <c r="J14" i="37"/>
  <c r="J13" i="37"/>
  <c r="J12" i="37"/>
  <c r="J11" i="37"/>
  <c r="J10" i="37"/>
  <c r="J9" i="37"/>
  <c r="J8" i="37"/>
  <c r="J7" i="37"/>
  <c r="J6" i="37"/>
  <c r="J5" i="37"/>
  <c r="J4" i="37"/>
  <c r="J7" i="39"/>
  <c r="J6" i="39"/>
  <c r="J5" i="39"/>
  <c r="J4" i="39"/>
  <c r="J23" i="38"/>
  <c r="J22" i="38"/>
  <c r="J21" i="38"/>
  <c r="J20" i="38"/>
  <c r="J19" i="38"/>
  <c r="J18" i="38"/>
  <c r="J17" i="38"/>
  <c r="J16" i="38"/>
  <c r="J15" i="38"/>
  <c r="J14" i="38"/>
  <c r="J13" i="38"/>
  <c r="J12" i="38"/>
  <c r="J11" i="38"/>
  <c r="J10" i="38"/>
  <c r="J9" i="38"/>
  <c r="J8" i="38"/>
  <c r="J7" i="38"/>
  <c r="J6" i="38"/>
  <c r="J5" i="38"/>
  <c r="J4" i="38"/>
  <c r="J20" i="40"/>
  <c r="J19" i="40"/>
  <c r="J18" i="40"/>
  <c r="J17" i="40"/>
  <c r="J16" i="40"/>
  <c r="J15" i="40"/>
  <c r="J14" i="40"/>
  <c r="J13" i="40"/>
  <c r="J12" i="40"/>
  <c r="J11" i="40"/>
  <c r="J10" i="40"/>
  <c r="J9" i="40"/>
  <c r="J8" i="40"/>
  <c r="J7" i="40"/>
  <c r="J6" i="40"/>
  <c r="J5" i="40"/>
  <c r="J4" i="40"/>
  <c r="J16" i="41"/>
  <c r="J15" i="41"/>
  <c r="J14" i="41"/>
  <c r="J13" i="41"/>
  <c r="J12" i="41"/>
  <c r="J11" i="41"/>
  <c r="J10" i="41"/>
  <c r="J9" i="41"/>
  <c r="J8" i="41"/>
  <c r="J7" i="41"/>
  <c r="J6" i="41"/>
  <c r="J5" i="41"/>
  <c r="J4" i="41"/>
  <c r="J19" i="42"/>
  <c r="J18" i="42"/>
  <c r="J17" i="42"/>
  <c r="J16" i="42"/>
  <c r="J15" i="42"/>
  <c r="J14" i="42"/>
  <c r="J13" i="42"/>
  <c r="J12" i="42"/>
  <c r="J11" i="42"/>
  <c r="J10" i="42"/>
  <c r="J9" i="42"/>
  <c r="J8" i="42"/>
  <c r="J7" i="42"/>
  <c r="J6" i="42"/>
  <c r="J5" i="42"/>
  <c r="J4" i="42"/>
  <c r="J23" i="44"/>
  <c r="J22" i="44"/>
  <c r="J21" i="44"/>
  <c r="J20" i="44"/>
  <c r="J19" i="44"/>
  <c r="J18" i="44"/>
  <c r="J17" i="44"/>
  <c r="J16" i="44"/>
  <c r="J15" i="44"/>
  <c r="J14" i="44"/>
  <c r="J13" i="44"/>
  <c r="J12" i="44"/>
  <c r="J11" i="44"/>
  <c r="J10" i="44"/>
  <c r="J9" i="44"/>
  <c r="J8" i="44"/>
  <c r="J7" i="44"/>
  <c r="J6" i="44"/>
  <c r="J5" i="44"/>
  <c r="J4" i="44"/>
  <c r="J24" i="45"/>
  <c r="J23" i="45"/>
  <c r="J22" i="45"/>
  <c r="J21" i="45"/>
  <c r="J20" i="45"/>
  <c r="J19" i="45"/>
  <c r="J18" i="45"/>
  <c r="J17" i="45"/>
  <c r="J16" i="45"/>
  <c r="J15" i="45"/>
  <c r="J14" i="45"/>
  <c r="J13" i="45"/>
  <c r="J12" i="45"/>
  <c r="J11" i="45"/>
  <c r="J10" i="45"/>
  <c r="J9" i="45"/>
  <c r="J8" i="45"/>
  <c r="J7" i="45"/>
  <c r="J6" i="45"/>
  <c r="J5" i="45"/>
  <c r="J4" i="45"/>
  <c r="J14" i="46"/>
  <c r="J13" i="46"/>
  <c r="J12" i="46"/>
  <c r="J11" i="46"/>
  <c r="J10" i="46"/>
  <c r="J9" i="46"/>
  <c r="J8" i="46"/>
  <c r="J7" i="46"/>
  <c r="J6" i="46"/>
  <c r="J5" i="46"/>
  <c r="J4" i="46"/>
  <c r="J24" i="47"/>
  <c r="J23" i="47"/>
  <c r="J22" i="47"/>
  <c r="J21" i="47"/>
  <c r="J20" i="47"/>
  <c r="J19" i="47"/>
  <c r="J18" i="47"/>
  <c r="J17" i="47"/>
  <c r="J16" i="47"/>
  <c r="J15" i="47"/>
  <c r="J14" i="47"/>
  <c r="J13" i="47"/>
  <c r="J12" i="47"/>
  <c r="J11" i="47"/>
  <c r="J10" i="47"/>
  <c r="J9" i="47"/>
  <c r="J8" i="47"/>
  <c r="J7" i="47"/>
  <c r="J6" i="47"/>
  <c r="J5" i="47"/>
  <c r="J4" i="47"/>
  <c r="J24" i="48"/>
  <c r="J23" i="48"/>
  <c r="J22" i="48"/>
  <c r="J21" i="48"/>
  <c r="J20" i="48"/>
  <c r="J19" i="48"/>
  <c r="J18" i="48"/>
  <c r="J17" i="48"/>
  <c r="J16" i="48"/>
  <c r="J15" i="48"/>
  <c r="J14" i="48"/>
  <c r="J13" i="48"/>
  <c r="J12" i="48"/>
  <c r="J11" i="48"/>
  <c r="J10" i="48"/>
  <c r="J9" i="48"/>
  <c r="J8" i="48"/>
  <c r="J7" i="48"/>
  <c r="J6" i="48"/>
  <c r="J5" i="48"/>
  <c r="J4" i="48"/>
  <c r="J23" i="49"/>
  <c r="J22" i="49"/>
  <c r="J21" i="49"/>
  <c r="J20" i="49"/>
  <c r="J19" i="49"/>
  <c r="J18" i="49"/>
  <c r="J17" i="49"/>
  <c r="J16" i="49"/>
  <c r="J15" i="49"/>
  <c r="J14" i="49"/>
  <c r="J13" i="49"/>
  <c r="J12" i="49"/>
  <c r="J11" i="49"/>
  <c r="J10" i="49"/>
  <c r="J9" i="49"/>
  <c r="J8" i="49"/>
  <c r="J7" i="49"/>
  <c r="J6" i="49"/>
  <c r="J5" i="49"/>
  <c r="J4" i="49"/>
  <c r="J22" i="50"/>
  <c r="J21" i="50"/>
  <c r="J20" i="50"/>
  <c r="J19" i="50"/>
  <c r="J18" i="50"/>
  <c r="J17" i="50"/>
  <c r="J16" i="50"/>
  <c r="J15" i="50"/>
  <c r="J14" i="50"/>
  <c r="J13" i="50"/>
  <c r="J12" i="50"/>
  <c r="J11" i="50"/>
  <c r="J10" i="50"/>
  <c r="J9" i="50"/>
  <c r="J8" i="50"/>
  <c r="J7" i="50"/>
  <c r="J6" i="50"/>
  <c r="J5" i="50"/>
  <c r="J4" i="50"/>
  <c r="J7" i="51"/>
  <c r="J6" i="51"/>
  <c r="J5" i="51"/>
  <c r="J4" i="51"/>
  <c r="J21" i="52"/>
  <c r="J20" i="52"/>
  <c r="J19" i="52"/>
  <c r="J18" i="52"/>
  <c r="J17" i="52"/>
  <c r="J16" i="52"/>
  <c r="J15" i="52"/>
  <c r="J14" i="52"/>
  <c r="J13" i="52"/>
  <c r="J12" i="52"/>
  <c r="J11" i="52"/>
  <c r="J10" i="52"/>
  <c r="J9" i="52"/>
  <c r="J8" i="52"/>
  <c r="J7" i="52"/>
  <c r="J6" i="52"/>
  <c r="J4" i="52"/>
  <c r="J20" i="53"/>
  <c r="J19" i="53"/>
  <c r="J18" i="53"/>
  <c r="J17" i="53"/>
  <c r="J16" i="53"/>
  <c r="J15" i="53"/>
  <c r="J14" i="53"/>
  <c r="J13" i="53"/>
  <c r="J12" i="53"/>
  <c r="J11" i="53"/>
  <c r="J10" i="53"/>
  <c r="J9" i="53"/>
  <c r="J8" i="53"/>
  <c r="J7" i="53"/>
  <c r="J6" i="53"/>
  <c r="J5" i="53"/>
  <c r="J4" i="53"/>
  <c r="J21" i="54"/>
  <c r="J20" i="54"/>
  <c r="J19" i="54"/>
  <c r="J18" i="54"/>
  <c r="J17" i="54"/>
  <c r="J16" i="54"/>
  <c r="J15" i="54"/>
  <c r="J14" i="54"/>
  <c r="J13" i="54"/>
  <c r="J12" i="54"/>
  <c r="J11" i="54"/>
  <c r="J10" i="54"/>
  <c r="J9" i="54"/>
  <c r="J8" i="54"/>
  <c r="J7" i="54"/>
  <c r="J6" i="54"/>
  <c r="J5" i="54"/>
  <c r="J4" i="54"/>
  <c r="J7" i="55"/>
  <c r="J6" i="55"/>
  <c r="J5" i="55"/>
  <c r="J4" i="55"/>
  <c r="J17" i="56"/>
  <c r="J16" i="56"/>
  <c r="J15" i="56"/>
  <c r="J4" i="56"/>
  <c r="J14" i="57"/>
  <c r="J13" i="57"/>
  <c r="J12" i="57"/>
  <c r="J11" i="57"/>
  <c r="J10" i="57"/>
  <c r="J9" i="57"/>
  <c r="J8" i="57"/>
  <c r="J7" i="57"/>
  <c r="J6" i="57"/>
  <c r="J5" i="57"/>
  <c r="J4" i="57"/>
  <c r="J12" i="106"/>
  <c r="J11" i="106"/>
  <c r="J10" i="106"/>
  <c r="J9" i="106"/>
  <c r="J8" i="106"/>
  <c r="J7" i="106"/>
  <c r="J6" i="106"/>
  <c r="J5" i="106"/>
  <c r="J4" i="106"/>
  <c r="J23" i="58"/>
  <c r="J22" i="58"/>
  <c r="J21" i="58"/>
  <c r="J20" i="58"/>
  <c r="J19" i="58"/>
  <c r="J18" i="58"/>
  <c r="J17" i="58"/>
  <c r="J16" i="58"/>
  <c r="J15" i="58"/>
  <c r="J14" i="58"/>
  <c r="J13" i="58"/>
  <c r="J12" i="58"/>
  <c r="J11" i="58"/>
  <c r="J10" i="58"/>
  <c r="J9" i="58"/>
  <c r="J8" i="58"/>
  <c r="J7" i="58"/>
  <c r="J6" i="58"/>
  <c r="J5" i="58"/>
  <c r="J4" i="58"/>
  <c r="J23" i="59"/>
  <c r="J22" i="59"/>
  <c r="J21" i="59"/>
  <c r="J20" i="59"/>
  <c r="J19" i="59"/>
  <c r="J18" i="59"/>
  <c r="J17" i="59"/>
  <c r="J16" i="59"/>
  <c r="J15" i="59"/>
  <c r="J14" i="59"/>
  <c r="J13" i="59"/>
  <c r="J12" i="59"/>
  <c r="J11" i="59"/>
  <c r="J10" i="59"/>
  <c r="J9" i="59"/>
  <c r="J8" i="59"/>
  <c r="J7" i="59"/>
  <c r="J6" i="59"/>
  <c r="J5" i="59"/>
  <c r="J4" i="59"/>
  <c r="J22" i="60"/>
  <c r="J21" i="60"/>
  <c r="J20" i="60"/>
  <c r="J19" i="60"/>
  <c r="J18" i="60"/>
  <c r="J17" i="60"/>
  <c r="J16" i="60"/>
  <c r="J15" i="60"/>
  <c r="J14" i="60"/>
  <c r="J13" i="60"/>
  <c r="J12" i="60"/>
  <c r="J11" i="60"/>
  <c r="J10" i="60"/>
  <c r="J9" i="60"/>
  <c r="J8" i="60"/>
  <c r="J7" i="60"/>
  <c r="J6" i="60"/>
  <c r="J5" i="60"/>
  <c r="J4" i="60"/>
  <c r="J9" i="61"/>
  <c r="J8" i="61"/>
  <c r="J7" i="61"/>
  <c r="J6" i="61"/>
  <c r="J5" i="61"/>
  <c r="J4" i="61"/>
  <c r="J21" i="62"/>
  <c r="J20" i="62"/>
  <c r="J19" i="62"/>
  <c r="J18" i="62"/>
  <c r="J17" i="62"/>
  <c r="J16" i="62"/>
  <c r="J15" i="62"/>
  <c r="J14" i="62"/>
  <c r="J13" i="62"/>
  <c r="J12" i="62"/>
  <c r="J11" i="62"/>
  <c r="J10" i="62"/>
  <c r="J9" i="62"/>
  <c r="J8" i="62"/>
  <c r="J5" i="62"/>
  <c r="J4" i="62"/>
  <c r="J26" i="63"/>
  <c r="J25" i="63"/>
  <c r="J24" i="63"/>
  <c r="J23" i="63"/>
  <c r="J22" i="63"/>
  <c r="J21" i="63"/>
  <c r="J20" i="63"/>
  <c r="J19" i="63"/>
  <c r="J18" i="63"/>
  <c r="J17" i="63"/>
  <c r="J16" i="63"/>
  <c r="J15" i="63"/>
  <c r="J14" i="63"/>
  <c r="J13" i="63"/>
  <c r="J12" i="63"/>
  <c r="J11" i="63"/>
  <c r="J10" i="63"/>
  <c r="J9" i="63"/>
  <c r="J8" i="63"/>
  <c r="J7" i="63"/>
  <c r="J6" i="63"/>
  <c r="J5" i="63"/>
  <c r="J4" i="63"/>
  <c r="J15" i="64"/>
  <c r="J14" i="64"/>
  <c r="J13" i="64"/>
  <c r="J12" i="64"/>
  <c r="J11" i="64"/>
  <c r="J10" i="64"/>
  <c r="J9" i="64"/>
  <c r="J8" i="64"/>
  <c r="J7" i="64"/>
  <c r="J6" i="64"/>
  <c r="J5" i="64"/>
  <c r="J4" i="64"/>
  <c r="J17" i="65"/>
  <c r="J16" i="65"/>
  <c r="J15" i="65"/>
  <c r="J14" i="65"/>
  <c r="J13" i="65"/>
  <c r="J12" i="65"/>
  <c r="J11" i="65"/>
  <c r="J10" i="65"/>
  <c r="J9" i="65"/>
  <c r="J8" i="65"/>
  <c r="J7" i="65"/>
  <c r="J6" i="65"/>
  <c r="J4" i="65"/>
  <c r="J24" i="66"/>
  <c r="J23" i="66"/>
  <c r="J22" i="66"/>
  <c r="J21" i="66"/>
  <c r="J20" i="66"/>
  <c r="J19" i="66"/>
  <c r="J18" i="66"/>
  <c r="J17" i="66"/>
  <c r="J16" i="66"/>
  <c r="J15" i="66"/>
  <c r="J14" i="66"/>
  <c r="J13" i="66"/>
  <c r="J12" i="66"/>
  <c r="J11" i="66"/>
  <c r="J10" i="66"/>
  <c r="J9" i="66"/>
  <c r="J8" i="66"/>
  <c r="J7" i="66"/>
  <c r="J6" i="66"/>
  <c r="J5" i="66"/>
  <c r="J4" i="66"/>
  <c r="J27" i="67"/>
  <c r="J26" i="67"/>
  <c r="J25" i="67"/>
  <c r="J24" i="67"/>
  <c r="J23" i="67"/>
  <c r="J22" i="67"/>
  <c r="J21" i="67"/>
  <c r="J20" i="67"/>
  <c r="J19" i="67"/>
  <c r="J18" i="67"/>
  <c r="J17" i="67"/>
  <c r="J16" i="67"/>
  <c r="J15" i="67"/>
  <c r="J14" i="67"/>
  <c r="J13" i="67"/>
  <c r="J12" i="67"/>
  <c r="J11" i="67"/>
  <c r="J10" i="67"/>
  <c r="J9" i="67"/>
  <c r="J8" i="67"/>
  <c r="J7" i="67"/>
  <c r="J6" i="67"/>
  <c r="J5" i="67"/>
  <c r="J4" i="67"/>
  <c r="J22" i="68"/>
  <c r="J21" i="68"/>
  <c r="J20" i="68"/>
  <c r="J19" i="68"/>
  <c r="J18" i="68"/>
  <c r="J17" i="68"/>
  <c r="J16" i="68"/>
  <c r="J15" i="68"/>
  <c r="J14" i="68"/>
  <c r="J13" i="68"/>
  <c r="J12" i="68"/>
  <c r="J11" i="68"/>
  <c r="J10" i="68"/>
  <c r="J9" i="68"/>
  <c r="J8" i="68"/>
  <c r="J7" i="68"/>
  <c r="J6" i="68"/>
  <c r="J5" i="68"/>
  <c r="J4" i="68"/>
  <c r="J20" i="69"/>
  <c r="J19" i="69"/>
  <c r="J18" i="69"/>
  <c r="J17" i="69"/>
  <c r="J16" i="69"/>
  <c r="J15" i="69"/>
  <c r="J14" i="69"/>
  <c r="J13" i="69"/>
  <c r="J12" i="69"/>
  <c r="J11" i="69"/>
  <c r="J10" i="69"/>
  <c r="J9" i="69"/>
  <c r="J8" i="69"/>
  <c r="J7" i="69"/>
  <c r="J6" i="69"/>
  <c r="J5" i="69"/>
  <c r="J4" i="69"/>
  <c r="J17" i="70"/>
  <c r="J16" i="70"/>
  <c r="J15" i="70"/>
  <c r="J14" i="70"/>
  <c r="J13" i="70"/>
  <c r="J12" i="70"/>
  <c r="J11" i="70"/>
  <c r="J10" i="70"/>
  <c r="J9" i="70"/>
  <c r="J8" i="70"/>
  <c r="J7" i="70"/>
  <c r="J6" i="70"/>
  <c r="J5" i="70"/>
  <c r="J4" i="70"/>
  <c r="J22" i="72"/>
  <c r="J21" i="72"/>
  <c r="J5" i="72"/>
  <c r="J4" i="72"/>
  <c r="J25" i="73"/>
  <c r="J24" i="73"/>
  <c r="J23" i="73"/>
  <c r="J22" i="73"/>
  <c r="J21" i="73"/>
  <c r="J20" i="73"/>
  <c r="J19" i="73"/>
  <c r="J18" i="73"/>
  <c r="J17" i="73"/>
  <c r="J16" i="73"/>
  <c r="J15" i="73"/>
  <c r="J14" i="73"/>
  <c r="J13" i="73"/>
  <c r="J9" i="73"/>
  <c r="J8" i="73"/>
  <c r="J7" i="73"/>
  <c r="J6" i="73"/>
  <c r="J5" i="73"/>
  <c r="J4" i="73"/>
  <c r="J24" i="74"/>
  <c r="J23" i="74"/>
  <c r="J22" i="74"/>
  <c r="J21" i="74"/>
  <c r="J20" i="74"/>
  <c r="J19" i="74"/>
  <c r="J18" i="74"/>
  <c r="J17" i="74"/>
  <c r="J16" i="74"/>
  <c r="J15" i="74"/>
  <c r="J14" i="74"/>
  <c r="J13" i="74"/>
  <c r="J12" i="74"/>
  <c r="J11" i="74"/>
  <c r="J10" i="74"/>
  <c r="J9" i="74"/>
  <c r="J8" i="74"/>
  <c r="J7" i="74"/>
  <c r="J6" i="74"/>
  <c r="J5" i="74"/>
  <c r="J4" i="74"/>
  <c r="J28" i="75"/>
  <c r="J27" i="75"/>
  <c r="J16" i="75"/>
  <c r="J13" i="75"/>
  <c r="J12" i="75"/>
  <c r="J11" i="75"/>
  <c r="J10" i="75"/>
  <c r="J9" i="75"/>
  <c r="J8" i="75"/>
  <c r="J7" i="75"/>
  <c r="J6" i="75"/>
  <c r="J5" i="75"/>
  <c r="J4" i="75"/>
  <c r="J7" i="76"/>
  <c r="J6" i="76"/>
  <c r="J5" i="76"/>
  <c r="J4" i="76"/>
  <c r="J20" i="77"/>
  <c r="J19" i="77"/>
  <c r="J18" i="77"/>
  <c r="J17" i="77"/>
  <c r="J16" i="77"/>
  <c r="J15" i="77"/>
  <c r="J14" i="77"/>
  <c r="J13" i="77"/>
  <c r="J12" i="77"/>
  <c r="J11" i="77"/>
  <c r="J10" i="77"/>
  <c r="J9" i="77"/>
  <c r="J8" i="77"/>
  <c r="J7" i="77"/>
  <c r="J6" i="77"/>
  <c r="J5" i="77"/>
  <c r="J4" i="77"/>
  <c r="J20" i="78"/>
  <c r="J19" i="78"/>
  <c r="J18" i="78"/>
  <c r="J17" i="78"/>
  <c r="J16" i="78"/>
  <c r="J15" i="78"/>
  <c r="J14" i="78"/>
  <c r="J13" i="78"/>
  <c r="J12" i="78"/>
  <c r="J11" i="78"/>
  <c r="J10" i="78"/>
  <c r="J9" i="78"/>
  <c r="J8" i="78"/>
  <c r="J7" i="78"/>
  <c r="J6" i="78"/>
  <c r="J5" i="78"/>
  <c r="J4" i="78"/>
  <c r="J21" i="79"/>
  <c r="J20" i="79"/>
  <c r="J19" i="79"/>
  <c r="J18" i="79"/>
  <c r="J17" i="79"/>
  <c r="J16" i="79"/>
  <c r="J15" i="79"/>
  <c r="J14" i="79"/>
  <c r="J13" i="79"/>
  <c r="J12" i="79"/>
  <c r="J11" i="79"/>
  <c r="J10" i="79"/>
  <c r="J9" i="79"/>
  <c r="J8" i="79"/>
  <c r="J7" i="79"/>
  <c r="J6" i="79"/>
  <c r="J5" i="79"/>
  <c r="J4" i="79"/>
  <c r="J17" i="80"/>
  <c r="J16" i="80"/>
  <c r="J15" i="80"/>
  <c r="J14" i="80"/>
  <c r="J13" i="80"/>
  <c r="J12" i="80"/>
  <c r="J11" i="80"/>
  <c r="J10" i="80"/>
  <c r="J9" i="80"/>
  <c r="J8" i="80"/>
  <c r="J7" i="80"/>
  <c r="J6" i="80"/>
  <c r="J5" i="80"/>
  <c r="J4" i="80"/>
  <c r="J26" i="81"/>
  <c r="J25" i="81"/>
  <c r="J24" i="81"/>
  <c r="J23" i="81"/>
  <c r="J22" i="81"/>
  <c r="J21" i="81"/>
  <c r="J20" i="81"/>
  <c r="J19" i="81"/>
  <c r="J18" i="81"/>
  <c r="J17" i="81"/>
  <c r="J16" i="81"/>
  <c r="J15" i="81"/>
  <c r="J14" i="81"/>
  <c r="J13" i="81"/>
  <c r="J12" i="81"/>
  <c r="J11" i="81"/>
  <c r="J10" i="81"/>
  <c r="J9" i="81"/>
  <c r="J7" i="81"/>
  <c r="J6" i="81"/>
  <c r="J5" i="81"/>
  <c r="J4" i="81"/>
  <c r="J21" i="82"/>
  <c r="J20" i="82"/>
  <c r="J19" i="82"/>
  <c r="J18" i="82"/>
  <c r="J17" i="82"/>
  <c r="J16" i="82"/>
  <c r="J15" i="82"/>
  <c r="J14" i="82"/>
  <c r="J13" i="82"/>
  <c r="J12" i="82"/>
  <c r="J11" i="82"/>
  <c r="J10" i="82"/>
  <c r="J9" i="82"/>
  <c r="J8" i="82"/>
  <c r="J7" i="82"/>
  <c r="J6" i="82"/>
  <c r="J5" i="82"/>
  <c r="J4" i="82"/>
  <c r="J21" i="83"/>
  <c r="J20" i="83"/>
  <c r="J19" i="83"/>
  <c r="J18" i="83"/>
  <c r="J17" i="83"/>
  <c r="J16" i="83"/>
  <c r="J15" i="83"/>
  <c r="J14" i="83"/>
  <c r="J13" i="83"/>
  <c r="J12" i="83"/>
  <c r="J11" i="83"/>
  <c r="J10" i="83"/>
  <c r="J9" i="83"/>
  <c r="J8" i="83"/>
  <c r="J7" i="83"/>
  <c r="J6" i="83"/>
  <c r="J5" i="83"/>
  <c r="J4" i="83"/>
  <c r="J22" i="84"/>
  <c r="J21" i="84"/>
  <c r="J20" i="84"/>
  <c r="J19" i="84"/>
  <c r="J18" i="84"/>
  <c r="J17" i="84"/>
  <c r="J16" i="84"/>
  <c r="J15" i="84"/>
  <c r="J14" i="84"/>
  <c r="J13" i="84"/>
  <c r="J12" i="84"/>
  <c r="J11" i="84"/>
  <c r="J10" i="84"/>
  <c r="J9" i="84"/>
  <c r="J8" i="84"/>
  <c r="J7" i="84"/>
  <c r="J6" i="84"/>
  <c r="J5" i="84"/>
  <c r="J4" i="84"/>
  <c r="J23" i="85"/>
  <c r="J22" i="85"/>
  <c r="J21" i="85"/>
  <c r="J20" i="85"/>
  <c r="J19" i="85"/>
  <c r="J18" i="85"/>
  <c r="J17" i="85"/>
  <c r="J16" i="85"/>
  <c r="J15" i="85"/>
  <c r="J14" i="85"/>
  <c r="J13" i="85"/>
  <c r="J12" i="85"/>
  <c r="J11" i="85"/>
  <c r="J10" i="85"/>
  <c r="J9" i="85"/>
  <c r="J8" i="85"/>
  <c r="J7" i="85"/>
  <c r="J6" i="85"/>
  <c r="J5" i="85"/>
  <c r="J4" i="85"/>
  <c r="J21" i="86"/>
  <c r="J20" i="86"/>
  <c r="J19" i="86"/>
  <c r="J18" i="86"/>
  <c r="J17" i="86"/>
  <c r="J16" i="86"/>
  <c r="J15" i="86"/>
  <c r="J14" i="86"/>
  <c r="J13" i="86"/>
  <c r="J12" i="86"/>
  <c r="J11" i="86"/>
  <c r="J10" i="86"/>
  <c r="J9" i="86"/>
  <c r="J8" i="86"/>
  <c r="J7" i="86"/>
  <c r="J6" i="86"/>
  <c r="J5" i="86"/>
  <c r="J4" i="86"/>
  <c r="J22" i="87"/>
  <c r="J21" i="87"/>
  <c r="J20" i="87"/>
  <c r="J19" i="87"/>
  <c r="J18" i="87"/>
  <c r="J17" i="87"/>
  <c r="J16" i="87"/>
  <c r="J15" i="87"/>
  <c r="J14" i="87"/>
  <c r="J13" i="87"/>
  <c r="J12" i="87"/>
  <c r="J11" i="87"/>
  <c r="J10" i="87"/>
  <c r="J9" i="87"/>
  <c r="J8" i="87"/>
  <c r="J7" i="87"/>
  <c r="J6" i="87"/>
  <c r="J5" i="87"/>
  <c r="J4" i="87"/>
  <c r="J23" i="88"/>
  <c r="J22" i="88"/>
  <c r="J21" i="88"/>
  <c r="J20" i="88"/>
  <c r="J19" i="88"/>
  <c r="J18" i="88"/>
  <c r="J17" i="88"/>
  <c r="J16" i="88"/>
  <c r="J15" i="88"/>
  <c r="J14" i="88"/>
  <c r="J13" i="88"/>
  <c r="J12" i="88"/>
  <c r="J11" i="88"/>
  <c r="J10" i="88"/>
  <c r="J9" i="88"/>
  <c r="J8" i="88"/>
  <c r="J7" i="88"/>
  <c r="J6" i="88"/>
  <c r="J5" i="88"/>
  <c r="J4" i="88"/>
  <c r="J19" i="89"/>
  <c r="J18" i="89"/>
  <c r="J17" i="89"/>
  <c r="J16" i="89"/>
  <c r="J15" i="89"/>
  <c r="J14" i="89"/>
  <c r="J13" i="89"/>
  <c r="J12" i="89"/>
  <c r="J11" i="89"/>
  <c r="J10" i="89"/>
  <c r="J9" i="89"/>
  <c r="J8" i="89"/>
  <c r="J7" i="89"/>
  <c r="J6" i="89"/>
  <c r="J5" i="89"/>
  <c r="J4" i="89"/>
  <c r="J22" i="90"/>
  <c r="J21" i="90"/>
  <c r="J20" i="90"/>
  <c r="J19" i="90"/>
  <c r="J18" i="90"/>
  <c r="J17" i="90"/>
  <c r="J16" i="90"/>
  <c r="J15" i="90"/>
  <c r="J14" i="90"/>
  <c r="J13" i="90"/>
  <c r="J12" i="90"/>
  <c r="J11" i="90"/>
  <c r="J10" i="90"/>
  <c r="J9" i="90"/>
  <c r="J8" i="90"/>
  <c r="J7" i="90"/>
  <c r="J6" i="90"/>
  <c r="J5" i="90"/>
  <c r="J4" i="90"/>
  <c r="J18" i="91"/>
  <c r="J17" i="91"/>
  <c r="J16" i="91"/>
  <c r="J15" i="91"/>
  <c r="J14" i="91"/>
  <c r="J13" i="91"/>
  <c r="J12" i="91"/>
  <c r="J11" i="91"/>
  <c r="J10" i="91"/>
  <c r="J9" i="91"/>
  <c r="J8" i="91"/>
  <c r="J7" i="91"/>
  <c r="J6" i="91"/>
  <c r="J5" i="91"/>
  <c r="J4" i="91"/>
  <c r="J21" i="92"/>
  <c r="J20" i="92"/>
  <c r="J19" i="92"/>
  <c r="J18" i="92"/>
  <c r="J17" i="92"/>
  <c r="J16" i="92"/>
  <c r="J15" i="92"/>
  <c r="J14" i="92"/>
  <c r="J13" i="92"/>
  <c r="J12" i="92"/>
  <c r="J11" i="92"/>
  <c r="J10" i="92"/>
  <c r="J9" i="92"/>
  <c r="J8" i="92"/>
  <c r="J7" i="92"/>
  <c r="J6" i="92"/>
  <c r="J5" i="92"/>
  <c r="J4" i="92"/>
  <c r="J24" i="93"/>
  <c r="J23" i="93"/>
  <c r="J22" i="93"/>
  <c r="J21" i="93"/>
  <c r="J20" i="93"/>
  <c r="J19" i="93"/>
  <c r="J18" i="93"/>
  <c r="J17" i="93"/>
  <c r="J16" i="93"/>
  <c r="J15" i="93"/>
  <c r="J14" i="93"/>
  <c r="J13" i="93"/>
  <c r="J12" i="93"/>
  <c r="J11" i="93"/>
  <c r="J10" i="93"/>
  <c r="J9" i="93"/>
  <c r="J8" i="93"/>
  <c r="J7" i="93"/>
  <c r="J6" i="93"/>
  <c r="J5" i="93"/>
  <c r="J4" i="93"/>
  <c r="J22" i="94"/>
  <c r="J21" i="94"/>
  <c r="J20" i="94"/>
  <c r="J19" i="94"/>
  <c r="J18" i="94"/>
  <c r="J17" i="94"/>
  <c r="J16" i="94"/>
  <c r="J15" i="94"/>
  <c r="J14" i="94"/>
  <c r="J13" i="94"/>
  <c r="J12" i="94"/>
  <c r="J11" i="94"/>
  <c r="J10" i="94"/>
  <c r="J8" i="94"/>
  <c r="J7" i="94"/>
  <c r="J6" i="94"/>
  <c r="J5" i="94"/>
  <c r="J4" i="94"/>
  <c r="J17" i="95"/>
  <c r="J16" i="95"/>
  <c r="J15" i="95"/>
  <c r="J14" i="95"/>
  <c r="J13" i="95"/>
  <c r="J12" i="95"/>
  <c r="J11" i="95"/>
  <c r="J10" i="95"/>
  <c r="J9" i="95"/>
  <c r="J8" i="95"/>
  <c r="J6" i="95"/>
  <c r="J5" i="95"/>
  <c r="J17" i="96"/>
  <c r="J16" i="96"/>
  <c r="J15" i="96"/>
  <c r="J14" i="96"/>
  <c r="J13" i="96"/>
  <c r="J12" i="96"/>
  <c r="J11" i="96"/>
  <c r="J10" i="96"/>
  <c r="J9" i="96"/>
  <c r="J8" i="96"/>
  <c r="J7" i="96"/>
  <c r="J6" i="96"/>
  <c r="J5" i="96"/>
  <c r="J4" i="96"/>
  <c r="J19" i="97"/>
  <c r="J18" i="97"/>
  <c r="J17" i="97"/>
  <c r="J16" i="97"/>
  <c r="J15" i="97"/>
  <c r="J14" i="97"/>
  <c r="J13" i="97"/>
  <c r="J12" i="97"/>
  <c r="J11" i="97"/>
  <c r="J10" i="97"/>
  <c r="J9" i="97"/>
  <c r="J8" i="97"/>
  <c r="J7" i="97"/>
  <c r="J6" i="97"/>
  <c r="J5" i="97"/>
  <c r="J4" i="97"/>
  <c r="J17" i="98"/>
  <c r="J16" i="98"/>
  <c r="J15" i="98"/>
  <c r="J14" i="98"/>
  <c r="J13" i="98"/>
  <c r="J12" i="98"/>
  <c r="J11" i="98"/>
  <c r="J10" i="98"/>
  <c r="J9" i="98"/>
  <c r="J8" i="98"/>
  <c r="J7" i="98"/>
  <c r="J6" i="98"/>
  <c r="J5" i="98"/>
  <c r="J4" i="98"/>
  <c r="J22" i="99"/>
  <c r="J21" i="99"/>
  <c r="J20" i="99"/>
  <c r="J19" i="99"/>
  <c r="J18" i="99"/>
  <c r="J17" i="99"/>
  <c r="J16" i="99"/>
  <c r="J15" i="99"/>
  <c r="J14" i="99"/>
  <c r="J13" i="99"/>
  <c r="J12" i="99"/>
  <c r="J11" i="99"/>
  <c r="J10" i="99"/>
  <c r="J9" i="99"/>
  <c r="J8" i="99"/>
  <c r="J7" i="99"/>
  <c r="J6" i="99"/>
  <c r="J5" i="99"/>
  <c r="J4" i="99"/>
  <c r="J23" i="100"/>
  <c r="J22" i="100"/>
  <c r="J21" i="100"/>
  <c r="J20" i="100"/>
  <c r="J19" i="100"/>
  <c r="J18" i="100"/>
  <c r="J17" i="100"/>
  <c r="J16" i="100"/>
  <c r="J15" i="100"/>
  <c r="J14" i="100"/>
  <c r="J13" i="100"/>
  <c r="J12" i="100"/>
  <c r="J11" i="100"/>
  <c r="J10" i="100"/>
  <c r="J9" i="100"/>
  <c r="J8" i="100"/>
  <c r="J7" i="100"/>
  <c r="J6" i="100"/>
  <c r="J5" i="100"/>
  <c r="J4" i="100"/>
  <c r="J20" i="101"/>
  <c r="J19" i="101"/>
  <c r="J18" i="101"/>
  <c r="J17" i="101"/>
  <c r="J16" i="101"/>
  <c r="J15" i="101"/>
  <c r="J14" i="101"/>
  <c r="J13" i="101"/>
  <c r="J12" i="101"/>
  <c r="J11" i="101"/>
  <c r="J10" i="101"/>
  <c r="J9" i="101"/>
  <c r="J8" i="101"/>
  <c r="J7" i="101"/>
  <c r="J6" i="101"/>
  <c r="J5" i="101"/>
  <c r="J4" i="101"/>
  <c r="J29" i="102"/>
  <c r="J28" i="102"/>
  <c r="J20" i="102"/>
  <c r="J19" i="102"/>
  <c r="J18" i="102"/>
  <c r="J17" i="102"/>
  <c r="J16" i="102"/>
  <c r="J15" i="102"/>
  <c r="J11" i="102"/>
  <c r="J9" i="102"/>
  <c r="J8" i="102"/>
  <c r="J7" i="102"/>
  <c r="J6" i="102"/>
  <c r="J5" i="102"/>
  <c r="J4" i="102"/>
  <c r="J22" i="10"/>
  <c r="J21" i="10"/>
  <c r="J20" i="10"/>
  <c r="J19" i="10"/>
  <c r="J18" i="10"/>
  <c r="J17" i="10"/>
  <c r="J16" i="10"/>
  <c r="J15" i="10"/>
  <c r="J14" i="10"/>
  <c r="J13" i="10"/>
  <c r="J12" i="10"/>
  <c r="J11" i="10"/>
  <c r="J10" i="10"/>
  <c r="J9" i="10"/>
  <c r="J8" i="10"/>
  <c r="J7" i="10"/>
  <c r="J6" i="10"/>
  <c r="J5" i="10"/>
  <c r="J4" i="10"/>
  <c r="J19" i="9"/>
  <c r="J18" i="9"/>
  <c r="J17" i="9"/>
  <c r="J16" i="9"/>
  <c r="J15" i="9"/>
  <c r="J14" i="9"/>
  <c r="J13" i="9"/>
  <c r="J12" i="9"/>
  <c r="J11" i="9"/>
  <c r="J10" i="9"/>
  <c r="J9" i="9"/>
  <c r="J8" i="9"/>
  <c r="J7" i="9"/>
  <c r="J5" i="9"/>
  <c r="J4" i="9"/>
  <c r="J17" i="8"/>
  <c r="J16" i="8"/>
  <c r="J15" i="8"/>
  <c r="J14" i="8"/>
  <c r="J13" i="8"/>
  <c r="J12" i="8"/>
  <c r="J11" i="8"/>
  <c r="J10" i="8"/>
  <c r="J9" i="8"/>
  <c r="J8" i="8"/>
  <c r="J7" i="8"/>
  <c r="J6" i="8"/>
  <c r="J5" i="8"/>
  <c r="J4" i="8"/>
  <c r="F4" i="62"/>
  <c r="F6" i="62"/>
  <c r="F7" i="62"/>
  <c r="F8" i="62"/>
  <c r="F9" i="62"/>
  <c r="F10" i="62"/>
  <c r="F11" i="62"/>
  <c r="F12" i="62"/>
  <c r="F13" i="62"/>
  <c r="F14" i="62"/>
  <c r="F15" i="62"/>
  <c r="F16" i="62"/>
  <c r="F17" i="62"/>
  <c r="F18" i="62"/>
  <c r="F19" i="62"/>
  <c r="F20" i="62"/>
  <c r="F21" i="62"/>
  <c r="F25" i="11"/>
  <c r="F24" i="11"/>
  <c r="F23" i="11"/>
  <c r="F22" i="11"/>
  <c r="F21" i="11"/>
  <c r="F20" i="11"/>
  <c r="F19" i="11"/>
  <c r="F18" i="11"/>
  <c r="F17" i="11"/>
  <c r="F16" i="11"/>
  <c r="F15" i="11"/>
  <c r="F14" i="11"/>
  <c r="F13" i="11"/>
  <c r="F12" i="11"/>
  <c r="F11" i="11"/>
  <c r="F10" i="11"/>
  <c r="F9" i="11"/>
  <c r="F8" i="11"/>
  <c r="F7" i="11"/>
  <c r="F6" i="11"/>
  <c r="F5" i="11"/>
  <c r="F4" i="11"/>
  <c r="F21" i="12"/>
  <c r="F20" i="12"/>
  <c r="F19" i="12"/>
  <c r="F18" i="12"/>
  <c r="F17" i="12"/>
  <c r="F16" i="12"/>
  <c r="F15" i="12"/>
  <c r="F14" i="12"/>
  <c r="F13" i="12"/>
  <c r="F12" i="12"/>
  <c r="F11" i="12"/>
  <c r="F10" i="12"/>
  <c r="F9" i="12"/>
  <c r="F8" i="12"/>
  <c r="F7" i="12"/>
  <c r="F6" i="12"/>
  <c r="F5" i="12"/>
  <c r="F4" i="12"/>
  <c r="F22" i="13"/>
  <c r="F21" i="13"/>
  <c r="F20" i="13"/>
  <c r="F19" i="13"/>
  <c r="F18" i="13"/>
  <c r="F17" i="13"/>
  <c r="F16" i="13"/>
  <c r="F15" i="13"/>
  <c r="F14" i="13"/>
  <c r="F13" i="13"/>
  <c r="F12" i="13"/>
  <c r="F11" i="13"/>
  <c r="F10" i="13"/>
  <c r="F9" i="13"/>
  <c r="F8" i="13"/>
  <c r="F7" i="13"/>
  <c r="F6" i="13"/>
  <c r="F5" i="13"/>
  <c r="F4" i="13"/>
  <c r="F19" i="14"/>
  <c r="F18" i="14"/>
  <c r="F17" i="14"/>
  <c r="F16" i="14"/>
  <c r="F15" i="14"/>
  <c r="F14" i="14"/>
  <c r="F13" i="14"/>
  <c r="F12" i="14"/>
  <c r="F11" i="14"/>
  <c r="F10" i="14"/>
  <c r="F9" i="14"/>
  <c r="F8" i="14"/>
  <c r="F7" i="14"/>
  <c r="F4" i="14"/>
  <c r="F25" i="15"/>
  <c r="F24" i="15"/>
  <c r="F23" i="15"/>
  <c r="F22" i="15"/>
  <c r="F21" i="15"/>
  <c r="F20" i="15"/>
  <c r="F19" i="15"/>
  <c r="F18" i="15"/>
  <c r="F17" i="15"/>
  <c r="F16" i="15"/>
  <c r="F15" i="15"/>
  <c r="F14" i="15"/>
  <c r="F13" i="15"/>
  <c r="F12" i="15"/>
  <c r="F11" i="15"/>
  <c r="F10" i="15"/>
  <c r="F9" i="15"/>
  <c r="F8" i="15"/>
  <c r="F7" i="15"/>
  <c r="F6" i="15"/>
  <c r="F4" i="15"/>
  <c r="F19" i="16"/>
  <c r="F18" i="16"/>
  <c r="F17" i="16"/>
  <c r="F16" i="16"/>
  <c r="F15" i="16"/>
  <c r="F14" i="16"/>
  <c r="F13" i="16"/>
  <c r="F12" i="16"/>
  <c r="F10" i="16"/>
  <c r="F9" i="16"/>
  <c r="F27" i="105"/>
  <c r="F26" i="105"/>
  <c r="F25" i="105"/>
  <c r="F24" i="105"/>
  <c r="F23" i="105"/>
  <c r="F22" i="105"/>
  <c r="F21" i="105"/>
  <c r="F20" i="105"/>
  <c r="F19" i="105"/>
  <c r="F18" i="105"/>
  <c r="F17" i="105"/>
  <c r="F16" i="105"/>
  <c r="F15" i="105"/>
  <c r="F14" i="105"/>
  <c r="F13" i="105"/>
  <c r="F12" i="105"/>
  <c r="F11" i="105"/>
  <c r="F10" i="105"/>
  <c r="F9" i="105"/>
  <c r="F8" i="105"/>
  <c r="F7" i="105"/>
  <c r="F6" i="105"/>
  <c r="F5" i="105"/>
  <c r="F4" i="105"/>
  <c r="F28" i="17"/>
  <c r="F27" i="17"/>
  <c r="F26" i="17"/>
  <c r="F25" i="17"/>
  <c r="F24" i="17"/>
  <c r="F23" i="17"/>
  <c r="F22" i="17"/>
  <c r="F21" i="17"/>
  <c r="F20" i="17"/>
  <c r="F19" i="17"/>
  <c r="F18" i="17"/>
  <c r="F17" i="17"/>
  <c r="F16" i="17"/>
  <c r="F15" i="17"/>
  <c r="F14" i="17"/>
  <c r="F13" i="17"/>
  <c r="F12" i="17"/>
  <c r="F11" i="17"/>
  <c r="F10" i="17"/>
  <c r="F9" i="17"/>
  <c r="F8" i="17"/>
  <c r="F6" i="17"/>
  <c r="F18" i="18"/>
  <c r="F17" i="18"/>
  <c r="F16" i="18"/>
  <c r="F15" i="18"/>
  <c r="F14" i="18"/>
  <c r="F13" i="18"/>
  <c r="F12" i="18"/>
  <c r="F11" i="18"/>
  <c r="F10" i="18"/>
  <c r="F9" i="18"/>
  <c r="F8" i="18"/>
  <c r="F7" i="18"/>
  <c r="F6" i="18"/>
  <c r="F5" i="18"/>
  <c r="F18" i="19"/>
  <c r="F17" i="19"/>
  <c r="F16" i="19"/>
  <c r="F15" i="19"/>
  <c r="F14" i="19"/>
  <c r="F13" i="19"/>
  <c r="F12" i="19"/>
  <c r="F11" i="19"/>
  <c r="F10" i="19"/>
  <c r="F9" i="19"/>
  <c r="F5" i="19"/>
  <c r="F4" i="19"/>
  <c r="F23" i="20"/>
  <c r="F22" i="20"/>
  <c r="F21" i="20"/>
  <c r="F20" i="20"/>
  <c r="F19" i="20"/>
  <c r="F18" i="20"/>
  <c r="F17" i="20"/>
  <c r="F16" i="20"/>
  <c r="F15" i="20"/>
  <c r="F14" i="20"/>
  <c r="F13" i="20"/>
  <c r="F12" i="20"/>
  <c r="F11" i="20"/>
  <c r="F10" i="20"/>
  <c r="F9" i="20"/>
  <c r="F8" i="20"/>
  <c r="F7" i="20"/>
  <c r="F6" i="20"/>
  <c r="F5" i="20"/>
  <c r="F4" i="20"/>
  <c r="F24" i="21"/>
  <c r="F23" i="21"/>
  <c r="F22" i="21"/>
  <c r="F21" i="21"/>
  <c r="F20" i="21"/>
  <c r="F19" i="21"/>
  <c r="F18" i="21"/>
  <c r="F17" i="21"/>
  <c r="F16" i="21"/>
  <c r="F15" i="21"/>
  <c r="F14" i="21"/>
  <c r="F13" i="21"/>
  <c r="F12" i="21"/>
  <c r="F11" i="21"/>
  <c r="F10" i="21"/>
  <c r="F9" i="21"/>
  <c r="F8" i="21"/>
  <c r="F7" i="21"/>
  <c r="F6" i="21"/>
  <c r="F21" i="22"/>
  <c r="F5" i="22"/>
  <c r="F4" i="22"/>
  <c r="F27" i="23"/>
  <c r="F26" i="23"/>
  <c r="F25" i="23"/>
  <c r="F24" i="23"/>
  <c r="F23" i="23"/>
  <c r="F22" i="23"/>
  <c r="F21" i="23"/>
  <c r="F20" i="23"/>
  <c r="F19" i="23"/>
  <c r="F18" i="23"/>
  <c r="F15" i="23"/>
  <c r="F14" i="23"/>
  <c r="F13" i="23"/>
  <c r="F12" i="23"/>
  <c r="F11" i="23"/>
  <c r="F10" i="23"/>
  <c r="F9" i="23"/>
  <c r="F8" i="23"/>
  <c r="F7" i="23"/>
  <c r="F6" i="23"/>
  <c r="F5" i="23"/>
  <c r="F20" i="24"/>
  <c r="F19" i="24"/>
  <c r="F18" i="24"/>
  <c r="F17" i="24"/>
  <c r="F16" i="24"/>
  <c r="F15" i="24"/>
  <c r="F14" i="24"/>
  <c r="F13" i="24"/>
  <c r="F12" i="24"/>
  <c r="F11" i="24"/>
  <c r="F10" i="24"/>
  <c r="F9" i="24"/>
  <c r="F8" i="24"/>
  <c r="F7" i="24"/>
  <c r="F6" i="24"/>
  <c r="F5" i="24"/>
  <c r="F20" i="25"/>
  <c r="F19" i="25"/>
  <c r="F18" i="25"/>
  <c r="F17" i="25"/>
  <c r="F16" i="25"/>
  <c r="F15" i="25"/>
  <c r="F14" i="25"/>
  <c r="F13" i="25"/>
  <c r="F12" i="25"/>
  <c r="F11" i="25"/>
  <c r="F10" i="25"/>
  <c r="F9" i="25"/>
  <c r="F8" i="25"/>
  <c r="F7" i="25"/>
  <c r="F6" i="25"/>
  <c r="F5" i="25"/>
  <c r="F4" i="25"/>
  <c r="F5" i="26"/>
  <c r="F4" i="26"/>
  <c r="F17" i="27"/>
  <c r="F16" i="27"/>
  <c r="F15" i="27"/>
  <c r="F14" i="27"/>
  <c r="F13" i="27"/>
  <c r="F12" i="27"/>
  <c r="F11" i="27"/>
  <c r="F10" i="27"/>
  <c r="F9" i="27"/>
  <c r="F8" i="27"/>
  <c r="F7" i="27"/>
  <c r="F6" i="27"/>
  <c r="F5" i="27"/>
  <c r="F4" i="27"/>
  <c r="F22" i="28"/>
  <c r="F21" i="28"/>
  <c r="F20" i="28"/>
  <c r="F19" i="28"/>
  <c r="F18" i="28"/>
  <c r="F17" i="28"/>
  <c r="F16" i="28"/>
  <c r="F15" i="28"/>
  <c r="F14" i="28"/>
  <c r="F13" i="28"/>
  <c r="F12" i="28"/>
  <c r="F11" i="28"/>
  <c r="F10" i="28"/>
  <c r="F8" i="28"/>
  <c r="F16" i="29"/>
  <c r="F15" i="29"/>
  <c r="F14" i="29"/>
  <c r="F13" i="29"/>
  <c r="F12" i="29"/>
  <c r="F11" i="29"/>
  <c r="F10" i="29"/>
  <c r="F9" i="29"/>
  <c r="F8" i="29"/>
  <c r="F7" i="29"/>
  <c r="F6" i="29"/>
  <c r="F21" i="30"/>
  <c r="F20" i="30"/>
  <c r="F19" i="30"/>
  <c r="F18" i="30"/>
  <c r="F17" i="30"/>
  <c r="F16" i="30"/>
  <c r="F15" i="30"/>
  <c r="F14" i="30"/>
  <c r="F13" i="30"/>
  <c r="F12" i="30"/>
  <c r="F11" i="30"/>
  <c r="F10" i="30"/>
  <c r="F9" i="30"/>
  <c r="F8" i="30"/>
  <c r="F7" i="30"/>
  <c r="F6" i="30"/>
  <c r="F5" i="30"/>
  <c r="F22" i="31"/>
  <c r="F21" i="31"/>
  <c r="F20" i="31"/>
  <c r="F19" i="31"/>
  <c r="F18" i="31"/>
  <c r="F17" i="31"/>
  <c r="F16" i="31"/>
  <c r="F15" i="31"/>
  <c r="F14" i="31"/>
  <c r="F13" i="31"/>
  <c r="F12" i="31"/>
  <c r="F11" i="31"/>
  <c r="F10" i="31"/>
  <c r="F9" i="31"/>
  <c r="F8" i="31"/>
  <c r="F7" i="31"/>
  <c r="F6" i="31"/>
  <c r="F22" i="32"/>
  <c r="F21" i="32"/>
  <c r="F20" i="32"/>
  <c r="F19" i="32"/>
  <c r="F18" i="32"/>
  <c r="F17" i="32"/>
  <c r="F16" i="32"/>
  <c r="F15" i="32"/>
  <c r="F14" i="32"/>
  <c r="F13" i="32"/>
  <c r="F12" i="32"/>
  <c r="F11" i="32"/>
  <c r="F10" i="32"/>
  <c r="F9" i="32"/>
  <c r="F8" i="32"/>
  <c r="F7" i="32"/>
  <c r="F6" i="32"/>
  <c r="F4" i="32"/>
  <c r="F24" i="33"/>
  <c r="F23" i="33"/>
  <c r="F22" i="33"/>
  <c r="F21" i="33"/>
  <c r="F20" i="33"/>
  <c r="F19" i="33"/>
  <c r="F18" i="33"/>
  <c r="F17" i="33"/>
  <c r="F16" i="33"/>
  <c r="F15" i="33"/>
  <c r="F14" i="33"/>
  <c r="F13" i="33"/>
  <c r="F12" i="33"/>
  <c r="F11" i="33"/>
  <c r="F10" i="33"/>
  <c r="F9" i="33"/>
  <c r="F8" i="33"/>
  <c r="F7" i="33"/>
  <c r="F6" i="33"/>
  <c r="F5" i="33"/>
  <c r="F4" i="33"/>
  <c r="F18" i="34"/>
  <c r="F17" i="34"/>
  <c r="F16" i="34"/>
  <c r="F15" i="34"/>
  <c r="F14" i="34"/>
  <c r="F13" i="34"/>
  <c r="F12" i="34"/>
  <c r="F11" i="34"/>
  <c r="F10" i="34"/>
  <c r="F9" i="34"/>
  <c r="F8" i="34"/>
  <c r="F7" i="34"/>
  <c r="F6" i="34"/>
  <c r="F5" i="34"/>
  <c r="F20" i="35"/>
  <c r="F19" i="35"/>
  <c r="F18" i="35"/>
  <c r="F17" i="35"/>
  <c r="F16" i="35"/>
  <c r="F15" i="35"/>
  <c r="F14" i="35"/>
  <c r="F13" i="35"/>
  <c r="F12" i="35"/>
  <c r="F11" i="35"/>
  <c r="F10" i="35"/>
  <c r="F9" i="35"/>
  <c r="F8" i="35"/>
  <c r="F7" i="35"/>
  <c r="F6" i="35"/>
  <c r="F5" i="35"/>
  <c r="F4" i="35"/>
  <c r="F30" i="36"/>
  <c r="F29" i="36"/>
  <c r="F28" i="36"/>
  <c r="F27" i="36"/>
  <c r="F26" i="36"/>
  <c r="F25" i="36"/>
  <c r="F24" i="36"/>
  <c r="F23" i="36"/>
  <c r="F22" i="36"/>
  <c r="F21" i="36"/>
  <c r="F20" i="36"/>
  <c r="F19" i="36"/>
  <c r="F18" i="36"/>
  <c r="F17" i="36"/>
  <c r="F16" i="36"/>
  <c r="F15" i="36"/>
  <c r="F14" i="36"/>
  <c r="F13" i="36"/>
  <c r="F12" i="36"/>
  <c r="F11" i="36"/>
  <c r="F10" i="36"/>
  <c r="F9" i="36"/>
  <c r="F8" i="36"/>
  <c r="F7" i="36"/>
  <c r="F6" i="36"/>
  <c r="F21" i="37"/>
  <c r="F20" i="37"/>
  <c r="F19" i="37"/>
  <c r="F18" i="37"/>
  <c r="F17" i="37"/>
  <c r="F16" i="37"/>
  <c r="F15" i="37"/>
  <c r="F14" i="37"/>
  <c r="F13" i="37"/>
  <c r="F12" i="37"/>
  <c r="F11" i="37"/>
  <c r="F10" i="37"/>
  <c r="F9" i="37"/>
  <c r="F8" i="37"/>
  <c r="F7" i="37"/>
  <c r="F6" i="37"/>
  <c r="F5" i="37"/>
  <c r="F4" i="37"/>
  <c r="F22" i="37" s="1"/>
  <c r="F7" i="39"/>
  <c r="F6" i="39"/>
  <c r="F5" i="39"/>
  <c r="F4" i="39"/>
  <c r="F8" i="39" s="1"/>
  <c r="F23" i="38"/>
  <c r="F22" i="38"/>
  <c r="F21" i="38"/>
  <c r="F20" i="38"/>
  <c r="F19" i="38"/>
  <c r="F18" i="38"/>
  <c r="F17" i="38"/>
  <c r="F16" i="38"/>
  <c r="F15" i="38"/>
  <c r="F14" i="38"/>
  <c r="F13" i="38"/>
  <c r="F12" i="38"/>
  <c r="F11" i="38"/>
  <c r="F10" i="38"/>
  <c r="F9" i="38"/>
  <c r="F8" i="38"/>
  <c r="F5" i="38"/>
  <c r="F4" i="38"/>
  <c r="F20" i="40"/>
  <c r="F19" i="40"/>
  <c r="F18" i="40"/>
  <c r="F17" i="40"/>
  <c r="F16" i="40"/>
  <c r="F15" i="40"/>
  <c r="F14" i="40"/>
  <c r="F13" i="40"/>
  <c r="F12" i="40"/>
  <c r="F11" i="40"/>
  <c r="F10" i="40"/>
  <c r="F9" i="40"/>
  <c r="F8" i="40"/>
  <c r="F7" i="40"/>
  <c r="F5" i="40"/>
  <c r="F4" i="40"/>
  <c r="F16" i="41"/>
  <c r="F15" i="41"/>
  <c r="F14" i="41"/>
  <c r="F13" i="41"/>
  <c r="F12" i="41"/>
  <c r="F11" i="41"/>
  <c r="F10" i="41"/>
  <c r="F9" i="41"/>
  <c r="F8" i="41"/>
  <c r="F7" i="41"/>
  <c r="F6" i="41"/>
  <c r="F4" i="41"/>
  <c r="F19" i="42"/>
  <c r="F18" i="42"/>
  <c r="F17" i="42"/>
  <c r="F16" i="42"/>
  <c r="F15" i="42"/>
  <c r="F14" i="42"/>
  <c r="F13" i="42"/>
  <c r="F12" i="42"/>
  <c r="F11" i="42"/>
  <c r="F10" i="42"/>
  <c r="F7" i="42"/>
  <c r="F6" i="42"/>
  <c r="F5" i="42"/>
  <c r="F19" i="43"/>
  <c r="F18" i="43"/>
  <c r="F17" i="43"/>
  <c r="F16" i="43"/>
  <c r="F15" i="43"/>
  <c r="F14" i="43"/>
  <c r="F13" i="43"/>
  <c r="F12" i="43"/>
  <c r="F11" i="43"/>
  <c r="F10" i="43"/>
  <c r="F9" i="43"/>
  <c r="F8" i="43"/>
  <c r="F7" i="43"/>
  <c r="F6" i="43"/>
  <c r="F5" i="43"/>
  <c r="F23" i="44"/>
  <c r="F22" i="44"/>
  <c r="F21" i="44"/>
  <c r="F20" i="44"/>
  <c r="F19" i="44"/>
  <c r="F18" i="44"/>
  <c r="F17" i="44"/>
  <c r="F16" i="44"/>
  <c r="F15" i="44"/>
  <c r="F14" i="44"/>
  <c r="F13" i="44"/>
  <c r="F12" i="44"/>
  <c r="F11" i="44"/>
  <c r="F10" i="44"/>
  <c r="F9" i="44"/>
  <c r="F8" i="44"/>
  <c r="F7" i="44"/>
  <c r="F6" i="44"/>
  <c r="F5" i="44"/>
  <c r="F4" i="44"/>
  <c r="F24" i="45"/>
  <c r="F23" i="45"/>
  <c r="F22" i="45"/>
  <c r="F21" i="45"/>
  <c r="F20" i="45"/>
  <c r="F19" i="45"/>
  <c r="F18" i="45"/>
  <c r="F17" i="45"/>
  <c r="F16" i="45"/>
  <c r="F15" i="45"/>
  <c r="F14" i="45"/>
  <c r="F13" i="45"/>
  <c r="F12" i="45"/>
  <c r="F11" i="45"/>
  <c r="F10" i="45"/>
  <c r="F9" i="45"/>
  <c r="F8" i="45"/>
  <c r="F7" i="45"/>
  <c r="F6" i="45"/>
  <c r="F5" i="45"/>
  <c r="F4" i="45"/>
  <c r="F14" i="46"/>
  <c r="F13" i="46"/>
  <c r="F12" i="46"/>
  <c r="F11" i="46"/>
  <c r="F10" i="46"/>
  <c r="F9" i="46"/>
  <c r="F8" i="46"/>
  <c r="F7" i="46"/>
  <c r="F6" i="46"/>
  <c r="F24" i="47"/>
  <c r="F23" i="47"/>
  <c r="F22" i="47"/>
  <c r="F21" i="47"/>
  <c r="F20" i="47"/>
  <c r="F19" i="47"/>
  <c r="F18" i="47"/>
  <c r="F17" i="47"/>
  <c r="F16" i="47"/>
  <c r="F15" i="47"/>
  <c r="F14" i="47"/>
  <c r="F13" i="47"/>
  <c r="F12" i="47"/>
  <c r="F11" i="47"/>
  <c r="F10" i="47"/>
  <c r="F9" i="47"/>
  <c r="F8" i="47"/>
  <c r="F7" i="47"/>
  <c r="F6" i="47"/>
  <c r="F5" i="47"/>
  <c r="F4" i="47"/>
  <c r="F24" i="48"/>
  <c r="F23" i="48"/>
  <c r="F22" i="48"/>
  <c r="F21" i="48"/>
  <c r="F20" i="48"/>
  <c r="F19" i="48"/>
  <c r="F18" i="48"/>
  <c r="F17" i="48"/>
  <c r="F16" i="48"/>
  <c r="F15" i="48"/>
  <c r="F14" i="48"/>
  <c r="F13" i="48"/>
  <c r="F12" i="48"/>
  <c r="F11" i="48"/>
  <c r="F10" i="48"/>
  <c r="F9" i="48"/>
  <c r="F8" i="48"/>
  <c r="F7" i="48"/>
  <c r="F6" i="48"/>
  <c r="F5" i="48"/>
  <c r="F23" i="49"/>
  <c r="F22" i="49"/>
  <c r="F21" i="49"/>
  <c r="F20" i="49"/>
  <c r="F19" i="49"/>
  <c r="F18" i="49"/>
  <c r="F17" i="49"/>
  <c r="F16" i="49"/>
  <c r="F15" i="49"/>
  <c r="F14" i="49"/>
  <c r="F13" i="49"/>
  <c r="F12" i="49"/>
  <c r="F11" i="49"/>
  <c r="F10" i="49"/>
  <c r="F9" i="49"/>
  <c r="F8" i="49"/>
  <c r="F7" i="49"/>
  <c r="F6" i="49"/>
  <c r="F5" i="49"/>
  <c r="F4" i="49"/>
  <c r="F22" i="50"/>
  <c r="F21" i="50"/>
  <c r="F20" i="50"/>
  <c r="F19" i="50"/>
  <c r="F18" i="50"/>
  <c r="F17" i="50"/>
  <c r="F16" i="50"/>
  <c r="F15" i="50"/>
  <c r="F14" i="50"/>
  <c r="F13" i="50"/>
  <c r="F12" i="50"/>
  <c r="F11" i="50"/>
  <c r="F10" i="50"/>
  <c r="F9" i="50"/>
  <c r="F8" i="50"/>
  <c r="F7" i="50"/>
  <c r="F6" i="50"/>
  <c r="F5" i="50"/>
  <c r="F7" i="51"/>
  <c r="F6" i="51"/>
  <c r="F5" i="51"/>
  <c r="F4" i="51"/>
  <c r="F8" i="51" s="1"/>
  <c r="F21" i="52"/>
  <c r="F20" i="52"/>
  <c r="F19" i="52"/>
  <c r="F18" i="52"/>
  <c r="F17" i="52"/>
  <c r="F16" i="52"/>
  <c r="F15" i="52"/>
  <c r="F14" i="52"/>
  <c r="F13" i="52"/>
  <c r="F12" i="52"/>
  <c r="F11" i="52"/>
  <c r="F10" i="52"/>
  <c r="F9" i="52"/>
  <c r="F8" i="52"/>
  <c r="F7" i="52"/>
  <c r="F6" i="52"/>
  <c r="F5" i="52"/>
  <c r="F20" i="53"/>
  <c r="F19" i="53"/>
  <c r="F18" i="53"/>
  <c r="F17" i="53"/>
  <c r="F16" i="53"/>
  <c r="F15" i="53"/>
  <c r="F14" i="53"/>
  <c r="F13" i="53"/>
  <c r="F12" i="53"/>
  <c r="F11" i="53"/>
  <c r="F10" i="53"/>
  <c r="F9" i="53"/>
  <c r="F8" i="53"/>
  <c r="F7" i="53"/>
  <c r="F5" i="53"/>
  <c r="F4" i="53"/>
  <c r="F21" i="54"/>
  <c r="F20" i="54"/>
  <c r="F19" i="54"/>
  <c r="F18" i="54"/>
  <c r="F17" i="54"/>
  <c r="F16" i="54"/>
  <c r="F15" i="54"/>
  <c r="F14" i="54"/>
  <c r="F13" i="54"/>
  <c r="F12" i="54"/>
  <c r="F11" i="54"/>
  <c r="F10" i="54"/>
  <c r="F9" i="54"/>
  <c r="F7" i="54"/>
  <c r="F6" i="54"/>
  <c r="F5" i="54"/>
  <c r="F17" i="56"/>
  <c r="F16" i="56"/>
  <c r="F15" i="56"/>
  <c r="F4" i="56"/>
  <c r="F14" i="57"/>
  <c r="F13" i="57"/>
  <c r="F12" i="57"/>
  <c r="F11" i="57"/>
  <c r="F10" i="57"/>
  <c r="F9" i="57"/>
  <c r="F8" i="57"/>
  <c r="F7" i="57"/>
  <c r="F6" i="57"/>
  <c r="F5" i="57"/>
  <c r="F12" i="106"/>
  <c r="F11" i="106"/>
  <c r="F10" i="106"/>
  <c r="F9" i="106"/>
  <c r="F8" i="106"/>
  <c r="F7" i="106"/>
  <c r="F6" i="106"/>
  <c r="F5" i="106"/>
  <c r="F4" i="106"/>
  <c r="F23" i="58"/>
  <c r="F22" i="58"/>
  <c r="F21" i="58"/>
  <c r="F20" i="58"/>
  <c r="F19" i="58"/>
  <c r="F18" i="58"/>
  <c r="F17" i="58"/>
  <c r="F16" i="58"/>
  <c r="F15" i="58"/>
  <c r="F14" i="58"/>
  <c r="F13" i="58"/>
  <c r="F12" i="58"/>
  <c r="F11" i="58"/>
  <c r="F10" i="58"/>
  <c r="F9" i="58"/>
  <c r="F8" i="58"/>
  <c r="F7" i="58"/>
  <c r="F6" i="58"/>
  <c r="F5" i="58"/>
  <c r="F23" i="59"/>
  <c r="F22" i="59"/>
  <c r="F21" i="59"/>
  <c r="F20" i="59"/>
  <c r="F19" i="59"/>
  <c r="F18" i="59"/>
  <c r="F17" i="59"/>
  <c r="F16" i="59"/>
  <c r="F15" i="59"/>
  <c r="F14" i="59"/>
  <c r="F13" i="59"/>
  <c r="F12" i="59"/>
  <c r="F11" i="59"/>
  <c r="F10" i="59"/>
  <c r="F9" i="59"/>
  <c r="F8" i="59"/>
  <c r="F5" i="59"/>
  <c r="F22" i="60"/>
  <c r="F21" i="60"/>
  <c r="F20" i="60"/>
  <c r="F19" i="60"/>
  <c r="F18" i="60"/>
  <c r="F17" i="60"/>
  <c r="F16" i="60"/>
  <c r="F15" i="60"/>
  <c r="F14" i="60"/>
  <c r="F13" i="60"/>
  <c r="F12" i="60"/>
  <c r="F11" i="60"/>
  <c r="F10" i="60"/>
  <c r="F9" i="60"/>
  <c r="F8" i="60"/>
  <c r="F7" i="60"/>
  <c r="F4" i="60"/>
  <c r="F9" i="61"/>
  <c r="F8" i="61"/>
  <c r="F7" i="61"/>
  <c r="F6" i="61"/>
  <c r="E4" i="17"/>
  <c r="F4" i="17" s="1"/>
  <c r="F4" i="18"/>
  <c r="F26" i="63"/>
  <c r="F25" i="63"/>
  <c r="F24" i="63"/>
  <c r="F23" i="63"/>
  <c r="F22" i="63"/>
  <c r="F21" i="63"/>
  <c r="F20" i="63"/>
  <c r="F19" i="63"/>
  <c r="F18" i="63"/>
  <c r="F17" i="63"/>
  <c r="F16" i="63"/>
  <c r="F15" i="63"/>
  <c r="F14" i="63"/>
  <c r="F13" i="63"/>
  <c r="F12" i="63"/>
  <c r="F11" i="63"/>
  <c r="F10" i="63"/>
  <c r="F9" i="63"/>
  <c r="F8" i="63"/>
  <c r="F7" i="63"/>
  <c r="F6" i="63"/>
  <c r="F15" i="64"/>
  <c r="F14" i="64"/>
  <c r="F13" i="64"/>
  <c r="F12" i="64"/>
  <c r="F11" i="64"/>
  <c r="F10" i="64"/>
  <c r="F9" i="64"/>
  <c r="F8" i="64"/>
  <c r="F7" i="64"/>
  <c r="F6" i="64"/>
  <c r="F5" i="64"/>
  <c r="E4" i="64"/>
  <c r="F17" i="65"/>
  <c r="F16" i="65"/>
  <c r="F15" i="65"/>
  <c r="F14" i="65"/>
  <c r="F13" i="65"/>
  <c r="F12" i="65"/>
  <c r="F11" i="65"/>
  <c r="F10" i="65"/>
  <c r="F9" i="65"/>
  <c r="F8" i="65"/>
  <c r="F7" i="65"/>
  <c r="F6" i="65"/>
  <c r="F5" i="65"/>
  <c r="F24" i="66"/>
  <c r="F23" i="66"/>
  <c r="F22" i="66"/>
  <c r="F21" i="66"/>
  <c r="F20" i="66"/>
  <c r="F19" i="66"/>
  <c r="F18" i="66"/>
  <c r="F17" i="66"/>
  <c r="F16" i="66"/>
  <c r="F15" i="66"/>
  <c r="F14" i="66"/>
  <c r="F13" i="66"/>
  <c r="F12" i="66"/>
  <c r="F11" i="66"/>
  <c r="F10" i="66"/>
  <c r="F9" i="66"/>
  <c r="F8" i="66"/>
  <c r="F7" i="66"/>
  <c r="F6" i="66"/>
  <c r="F27" i="67"/>
  <c r="F26" i="67"/>
  <c r="F25" i="67"/>
  <c r="F24" i="67"/>
  <c r="F23" i="67"/>
  <c r="F22" i="67"/>
  <c r="F21" i="67"/>
  <c r="F20" i="67"/>
  <c r="F19" i="67"/>
  <c r="F18" i="67"/>
  <c r="F17" i="67"/>
  <c r="F16" i="67"/>
  <c r="F15" i="67"/>
  <c r="F14" i="67"/>
  <c r="F13" i="67"/>
  <c r="F12" i="67"/>
  <c r="F11" i="67"/>
  <c r="F10" i="67"/>
  <c r="F9" i="67"/>
  <c r="F8" i="67"/>
  <c r="F7" i="67"/>
  <c r="F6" i="67"/>
  <c r="F22" i="68"/>
  <c r="F21" i="68"/>
  <c r="F20" i="68"/>
  <c r="F19" i="68"/>
  <c r="F18" i="68"/>
  <c r="F17" i="68"/>
  <c r="F16" i="68"/>
  <c r="F15" i="68"/>
  <c r="F14" i="68"/>
  <c r="F13" i="68"/>
  <c r="F12" i="68"/>
  <c r="F11" i="68"/>
  <c r="F10" i="68"/>
  <c r="F9" i="68"/>
  <c r="F8" i="68"/>
  <c r="F7" i="68"/>
  <c r="F6" i="68"/>
  <c r="F20" i="69"/>
  <c r="F19" i="69"/>
  <c r="F18" i="69"/>
  <c r="F17" i="69"/>
  <c r="F16" i="69"/>
  <c r="F15" i="69"/>
  <c r="F14" i="69"/>
  <c r="F13" i="69"/>
  <c r="F12" i="69"/>
  <c r="F11" i="69"/>
  <c r="F10" i="69"/>
  <c r="F9" i="69"/>
  <c r="F8" i="69"/>
  <c r="F7" i="69"/>
  <c r="F5" i="69"/>
  <c r="F17" i="70"/>
  <c r="F16" i="70"/>
  <c r="F15" i="70"/>
  <c r="F14" i="70"/>
  <c r="F13" i="70"/>
  <c r="F12" i="70"/>
  <c r="F11" i="70"/>
  <c r="F10" i="70"/>
  <c r="F9" i="70"/>
  <c r="F8" i="70"/>
  <c r="F7" i="70"/>
  <c r="F6" i="70"/>
  <c r="F5" i="70"/>
  <c r="F4" i="70"/>
  <c r="F17" i="71"/>
  <c r="F16" i="71"/>
  <c r="F15" i="71"/>
  <c r="F14" i="71"/>
  <c r="F13" i="71"/>
  <c r="F12" i="71"/>
  <c r="F11" i="71"/>
  <c r="F10" i="71"/>
  <c r="F9" i="71"/>
  <c r="F8" i="71"/>
  <c r="F7" i="71"/>
  <c r="F6" i="71"/>
  <c r="F5" i="71"/>
  <c r="F4" i="71"/>
  <c r="F22" i="72"/>
  <c r="F21" i="72"/>
  <c r="F5" i="72"/>
  <c r="F4" i="72"/>
  <c r="F25" i="73"/>
  <c r="F24" i="73"/>
  <c r="F23" i="73"/>
  <c r="F22" i="73"/>
  <c r="F21" i="73"/>
  <c r="F20" i="73"/>
  <c r="F19" i="73"/>
  <c r="F18" i="73"/>
  <c r="F17" i="73"/>
  <c r="F16" i="73"/>
  <c r="F15" i="73"/>
  <c r="F14" i="73"/>
  <c r="F13" i="73"/>
  <c r="F12" i="73"/>
  <c r="F11" i="73"/>
  <c r="F10" i="73"/>
  <c r="F9" i="73"/>
  <c r="F8" i="73"/>
  <c r="F6" i="73"/>
  <c r="F24" i="74"/>
  <c r="F23" i="74"/>
  <c r="F22" i="74"/>
  <c r="F21" i="74"/>
  <c r="F20" i="74"/>
  <c r="F19" i="74"/>
  <c r="F18" i="74"/>
  <c r="F17" i="74"/>
  <c r="F16" i="74"/>
  <c r="F15" i="74"/>
  <c r="F14" i="74"/>
  <c r="F13" i="74"/>
  <c r="F12" i="74"/>
  <c r="F11" i="74"/>
  <c r="F10" i="74"/>
  <c r="F9" i="74"/>
  <c r="F8" i="74"/>
  <c r="F7" i="74"/>
  <c r="F6" i="74"/>
  <c r="F28" i="75"/>
  <c r="F27" i="75"/>
  <c r="F16" i="75"/>
  <c r="F15" i="75"/>
  <c r="F14" i="75"/>
  <c r="F5" i="75"/>
  <c r="F4" i="75"/>
  <c r="F7" i="76"/>
  <c r="F6" i="76"/>
  <c r="F5" i="76"/>
  <c r="F4" i="76"/>
  <c r="F20" i="77"/>
  <c r="F19" i="77"/>
  <c r="F18" i="77"/>
  <c r="F17" i="77"/>
  <c r="F16" i="77"/>
  <c r="F15" i="77"/>
  <c r="F14" i="77"/>
  <c r="F13" i="77"/>
  <c r="F12" i="77"/>
  <c r="F11" i="77"/>
  <c r="F10" i="77"/>
  <c r="F9" i="77"/>
  <c r="F8" i="77"/>
  <c r="F7" i="77"/>
  <c r="F6" i="77"/>
  <c r="F5" i="77"/>
  <c r="F20" i="78"/>
  <c r="F19" i="78"/>
  <c r="F18" i="78"/>
  <c r="F17" i="78"/>
  <c r="F16" i="78"/>
  <c r="F15" i="78"/>
  <c r="F14" i="78"/>
  <c r="F13" i="78"/>
  <c r="F12" i="78"/>
  <c r="F11" i="78"/>
  <c r="F10" i="78"/>
  <c r="F9" i="78"/>
  <c r="F8" i="78"/>
  <c r="F7" i="78"/>
  <c r="F6" i="78"/>
  <c r="F5" i="78"/>
  <c r="F21" i="78" s="1"/>
  <c r="F4" i="78"/>
  <c r="F21" i="79"/>
  <c r="F20" i="79"/>
  <c r="F19" i="79"/>
  <c r="F18" i="79"/>
  <c r="F17" i="79"/>
  <c r="F16" i="79"/>
  <c r="F15" i="79"/>
  <c r="F14" i="79"/>
  <c r="F13" i="79"/>
  <c r="F12" i="79"/>
  <c r="F11" i="79"/>
  <c r="F10" i="79"/>
  <c r="F9" i="79"/>
  <c r="F8" i="79"/>
  <c r="F7" i="79"/>
  <c r="F6" i="79"/>
  <c r="F17" i="80"/>
  <c r="F16" i="80"/>
  <c r="F15" i="80"/>
  <c r="F14" i="80"/>
  <c r="F13" i="80"/>
  <c r="F12" i="80"/>
  <c r="F11" i="80"/>
  <c r="F10" i="80"/>
  <c r="F9" i="80"/>
  <c r="F8" i="80"/>
  <c r="F7" i="80"/>
  <c r="F6" i="80"/>
  <c r="F26" i="81"/>
  <c r="F25" i="81"/>
  <c r="F24" i="81"/>
  <c r="F23" i="81"/>
  <c r="F22" i="81"/>
  <c r="F21" i="81"/>
  <c r="F20" i="81"/>
  <c r="F19" i="81"/>
  <c r="F18" i="81"/>
  <c r="F17" i="81"/>
  <c r="F16" i="81"/>
  <c r="F15" i="81"/>
  <c r="F14" i="81"/>
  <c r="F13" i="81"/>
  <c r="F12" i="81"/>
  <c r="F11" i="81"/>
  <c r="F10" i="81"/>
  <c r="F9" i="81"/>
  <c r="F8" i="81"/>
  <c r="F4" i="81"/>
  <c r="F21" i="82"/>
  <c r="F20" i="82"/>
  <c r="F19" i="82"/>
  <c r="F18" i="82"/>
  <c r="F17" i="82"/>
  <c r="F16" i="82"/>
  <c r="F15" i="82"/>
  <c r="F14" i="82"/>
  <c r="F13" i="82"/>
  <c r="F12" i="82"/>
  <c r="F11" i="82"/>
  <c r="F10" i="82"/>
  <c r="F9" i="82"/>
  <c r="F8" i="82"/>
  <c r="F7" i="82"/>
  <c r="F21" i="83"/>
  <c r="F20" i="83"/>
  <c r="F19" i="83"/>
  <c r="F18" i="83"/>
  <c r="F17" i="83"/>
  <c r="F16" i="83"/>
  <c r="F15" i="83"/>
  <c r="F14" i="83"/>
  <c r="F13" i="83"/>
  <c r="F12" i="83"/>
  <c r="F11" i="83"/>
  <c r="F10" i="83"/>
  <c r="F9" i="83"/>
  <c r="F8" i="83"/>
  <c r="F7" i="83"/>
  <c r="F6" i="83"/>
  <c r="F5" i="83"/>
  <c r="F4" i="83"/>
  <c r="F22" i="84"/>
  <c r="F21" i="84"/>
  <c r="F20" i="84"/>
  <c r="F19" i="84"/>
  <c r="F18" i="84"/>
  <c r="F17" i="84"/>
  <c r="F16" i="84"/>
  <c r="F15" i="84"/>
  <c r="F14" i="84"/>
  <c r="F13" i="84"/>
  <c r="F12" i="84"/>
  <c r="F11" i="84"/>
  <c r="F10" i="84"/>
  <c r="F9" i="84"/>
  <c r="F8" i="84"/>
  <c r="F7" i="84"/>
  <c r="F6" i="84"/>
  <c r="F23" i="85"/>
  <c r="F22" i="85"/>
  <c r="F21" i="85"/>
  <c r="F20" i="85"/>
  <c r="F19" i="85"/>
  <c r="F18" i="85"/>
  <c r="F17" i="85"/>
  <c r="F16" i="85"/>
  <c r="F15" i="85"/>
  <c r="F14" i="85"/>
  <c r="F13" i="85"/>
  <c r="F12" i="85"/>
  <c r="F11" i="85"/>
  <c r="F10" i="85"/>
  <c r="F9" i="85"/>
  <c r="F8" i="85"/>
  <c r="F7" i="85"/>
  <c r="F6" i="85"/>
  <c r="F4" i="85"/>
  <c r="F21" i="86"/>
  <c r="F20" i="86"/>
  <c r="F19" i="86"/>
  <c r="F18" i="86"/>
  <c r="F17" i="86"/>
  <c r="F16" i="86"/>
  <c r="F15" i="86"/>
  <c r="F14" i="86"/>
  <c r="F13" i="86"/>
  <c r="F12" i="86"/>
  <c r="F11" i="86"/>
  <c r="F10" i="86"/>
  <c r="F9" i="86"/>
  <c r="F8" i="86"/>
  <c r="F6" i="86"/>
  <c r="F4" i="86"/>
  <c r="F6" i="87"/>
  <c r="F7" i="87"/>
  <c r="F8" i="87"/>
  <c r="F9" i="87"/>
  <c r="F10" i="87"/>
  <c r="F11" i="87"/>
  <c r="F12" i="87"/>
  <c r="F13" i="87"/>
  <c r="F14" i="87"/>
  <c r="F15" i="87"/>
  <c r="F16" i="87"/>
  <c r="F17" i="87"/>
  <c r="F18" i="87"/>
  <c r="F19" i="87"/>
  <c r="F20" i="87"/>
  <c r="F22" i="87"/>
  <c r="F21" i="87"/>
  <c r="F5" i="87"/>
  <c r="F4" i="87"/>
  <c r="F23" i="88"/>
  <c r="F22" i="88"/>
  <c r="F21" i="88"/>
  <c r="F20" i="88"/>
  <c r="F19" i="88"/>
  <c r="F18" i="88"/>
  <c r="F17" i="88"/>
  <c r="F16" i="88"/>
  <c r="F15" i="88"/>
  <c r="F14" i="88"/>
  <c r="F13" i="88"/>
  <c r="F12" i="88"/>
  <c r="F11" i="88"/>
  <c r="F10" i="88"/>
  <c r="F7" i="88"/>
  <c r="F6" i="88"/>
  <c r="F5" i="88"/>
  <c r="F4" i="88"/>
  <c r="F19" i="89"/>
  <c r="F18" i="89"/>
  <c r="F17" i="89"/>
  <c r="F16" i="89"/>
  <c r="F15" i="89"/>
  <c r="F14" i="89"/>
  <c r="F13" i="89"/>
  <c r="F12" i="89"/>
  <c r="F11" i="89"/>
  <c r="F10" i="89"/>
  <c r="F7" i="89"/>
  <c r="F6" i="89"/>
  <c r="F5" i="89"/>
  <c r="F4" i="89"/>
  <c r="F22" i="90"/>
  <c r="F21" i="90"/>
  <c r="F20" i="90"/>
  <c r="F19" i="90"/>
  <c r="F18" i="90"/>
  <c r="F17" i="90"/>
  <c r="F16" i="90"/>
  <c r="F15" i="90"/>
  <c r="F14" i="90"/>
  <c r="F13" i="90"/>
  <c r="F12" i="90"/>
  <c r="F11" i="90"/>
  <c r="F10" i="90"/>
  <c r="F9" i="90"/>
  <c r="F8" i="90"/>
  <c r="F7" i="90"/>
  <c r="F6" i="90"/>
  <c r="F5" i="90"/>
  <c r="F4" i="90"/>
  <c r="F18" i="91"/>
  <c r="F17" i="91"/>
  <c r="F16" i="91"/>
  <c r="F15" i="91"/>
  <c r="F14" i="91"/>
  <c r="F13" i="91"/>
  <c r="F12" i="91"/>
  <c r="F11" i="91"/>
  <c r="F10" i="91"/>
  <c r="F9" i="91"/>
  <c r="F8" i="91"/>
  <c r="F7" i="91"/>
  <c r="F6" i="91"/>
  <c r="F5" i="91"/>
  <c r="F21" i="92"/>
  <c r="F20" i="92"/>
  <c r="F19" i="92"/>
  <c r="F18" i="92"/>
  <c r="F17" i="92"/>
  <c r="F16" i="92"/>
  <c r="F15" i="92"/>
  <c r="F14" i="92"/>
  <c r="F13" i="92"/>
  <c r="F12" i="92"/>
  <c r="F11" i="92"/>
  <c r="F10" i="92"/>
  <c r="F9" i="92"/>
  <c r="F8" i="92"/>
  <c r="F5" i="92"/>
  <c r="F24" i="93"/>
  <c r="F23" i="93"/>
  <c r="F22" i="93"/>
  <c r="F21" i="93"/>
  <c r="F20" i="93"/>
  <c r="F19" i="93"/>
  <c r="F18" i="93"/>
  <c r="F17" i="93"/>
  <c r="F16" i="93"/>
  <c r="F15" i="93"/>
  <c r="F14" i="93"/>
  <c r="F13" i="93"/>
  <c r="F12" i="93"/>
  <c r="F11" i="93"/>
  <c r="F10" i="93"/>
  <c r="F9" i="93"/>
  <c r="F7" i="93"/>
  <c r="F5" i="93"/>
  <c r="F22" i="94"/>
  <c r="F21" i="94"/>
  <c r="F20" i="94"/>
  <c r="F19" i="94"/>
  <c r="F18" i="94"/>
  <c r="F17" i="94"/>
  <c r="F16" i="94"/>
  <c r="F15" i="94"/>
  <c r="F14" i="94"/>
  <c r="F13" i="94"/>
  <c r="F12" i="94"/>
  <c r="F11" i="94"/>
  <c r="F10" i="94"/>
  <c r="F8" i="94"/>
  <c r="F7" i="94"/>
  <c r="F4" i="94"/>
  <c r="F17" i="95"/>
  <c r="F16" i="95"/>
  <c r="F15" i="95"/>
  <c r="F14" i="95"/>
  <c r="F13" i="95"/>
  <c r="F12" i="95"/>
  <c r="F11" i="95"/>
  <c r="F10" i="95"/>
  <c r="F9" i="95"/>
  <c r="F8" i="95"/>
  <c r="F7" i="95"/>
  <c r="F6" i="95"/>
  <c r="F5" i="95"/>
  <c r="F4" i="95"/>
  <c r="F17" i="96"/>
  <c r="F16" i="96"/>
  <c r="F15" i="96"/>
  <c r="F14" i="96"/>
  <c r="F13" i="96"/>
  <c r="F12" i="96"/>
  <c r="F11" i="96"/>
  <c r="F10" i="96"/>
  <c r="F9" i="96"/>
  <c r="F8" i="96"/>
  <c r="F7" i="96"/>
  <c r="F6" i="96"/>
  <c r="F5" i="96"/>
  <c r="F19" i="97"/>
  <c r="F18" i="97"/>
  <c r="F17" i="97"/>
  <c r="F16" i="97"/>
  <c r="F15" i="97"/>
  <c r="F14" i="97"/>
  <c r="F13" i="97"/>
  <c r="F12" i="97"/>
  <c r="F11" i="97"/>
  <c r="F10" i="97"/>
  <c r="F9" i="97"/>
  <c r="F8" i="97"/>
  <c r="F7" i="97"/>
  <c r="F6" i="97"/>
  <c r="F5" i="97"/>
  <c r="F4" i="97"/>
  <c r="F5" i="98"/>
  <c r="F6" i="98"/>
  <c r="F7" i="98"/>
  <c r="F8" i="98"/>
  <c r="F9" i="98"/>
  <c r="F10" i="98"/>
  <c r="F11" i="98"/>
  <c r="F12" i="98"/>
  <c r="F13" i="98"/>
  <c r="F14" i="98"/>
  <c r="F15" i="98"/>
  <c r="F17" i="98"/>
  <c r="F16" i="98"/>
  <c r="F4" i="98"/>
  <c r="F22" i="99"/>
  <c r="F21" i="99"/>
  <c r="F20" i="99"/>
  <c r="F19" i="99"/>
  <c r="F18" i="99"/>
  <c r="F17" i="99"/>
  <c r="F16" i="99"/>
  <c r="F15" i="99"/>
  <c r="F14" i="99"/>
  <c r="F13" i="99"/>
  <c r="F12" i="99"/>
  <c r="F11" i="99"/>
  <c r="F8" i="99"/>
  <c r="F6" i="99"/>
  <c r="F5" i="99"/>
  <c r="F23" i="100"/>
  <c r="F22" i="100"/>
  <c r="F21" i="100"/>
  <c r="F20" i="100"/>
  <c r="F19" i="100"/>
  <c r="F18" i="100"/>
  <c r="F17" i="100"/>
  <c r="F16" i="100"/>
  <c r="F15" i="100"/>
  <c r="F14" i="100"/>
  <c r="F13" i="100"/>
  <c r="F12" i="100"/>
  <c r="F11" i="100"/>
  <c r="F10" i="100"/>
  <c r="F9" i="100"/>
  <c r="F8" i="100"/>
  <c r="F7" i="100"/>
  <c r="F6" i="100"/>
  <c r="F20" i="101"/>
  <c r="F19" i="101"/>
  <c r="F18" i="101"/>
  <c r="F17" i="101"/>
  <c r="F16" i="101"/>
  <c r="F15" i="101"/>
  <c r="F14" i="101"/>
  <c r="F13" i="101"/>
  <c r="F12" i="101"/>
  <c r="F11" i="101"/>
  <c r="F10" i="101"/>
  <c r="F9" i="101"/>
  <c r="F8" i="101"/>
  <c r="F7" i="101"/>
  <c r="F29" i="102"/>
  <c r="F28" i="102"/>
  <c r="F20" i="102"/>
  <c r="F19" i="102"/>
  <c r="F18" i="102"/>
  <c r="F17" i="102"/>
  <c r="F16" i="102"/>
  <c r="F15" i="102"/>
  <c r="F14" i="102"/>
  <c r="F13" i="102"/>
  <c r="F12" i="102"/>
  <c r="F11" i="102"/>
  <c r="F10" i="102"/>
  <c r="F9" i="102"/>
  <c r="F8" i="102"/>
  <c r="F7" i="102"/>
  <c r="F6" i="102"/>
  <c r="F22" i="10"/>
  <c r="F21" i="10"/>
  <c r="F20" i="10"/>
  <c r="F19" i="10"/>
  <c r="F18" i="10"/>
  <c r="F17" i="10"/>
  <c r="F16" i="10"/>
  <c r="F15" i="10"/>
  <c r="F14" i="10"/>
  <c r="F13" i="10"/>
  <c r="F12" i="10"/>
  <c r="F11" i="10"/>
  <c r="F10" i="10"/>
  <c r="F9" i="10"/>
  <c r="F8" i="10"/>
  <c r="F7" i="10"/>
  <c r="F6" i="10"/>
  <c r="F19" i="9"/>
  <c r="F18" i="9"/>
  <c r="F17" i="9"/>
  <c r="F16" i="9"/>
  <c r="F15" i="9"/>
  <c r="F14" i="9"/>
  <c r="F13" i="9"/>
  <c r="F12" i="9"/>
  <c r="F11" i="9"/>
  <c r="F10" i="9"/>
  <c r="F9" i="9"/>
  <c r="F8" i="9"/>
  <c r="F7" i="9"/>
  <c r="F6" i="9"/>
  <c r="J22" i="6"/>
  <c r="J21" i="6"/>
  <c r="J20" i="6"/>
  <c r="J19" i="6"/>
  <c r="J18" i="6"/>
  <c r="J17" i="6"/>
  <c r="J16" i="6"/>
  <c r="J15" i="6"/>
  <c r="J14" i="6"/>
  <c r="J13" i="6"/>
  <c r="J12" i="6"/>
  <c r="J11" i="6"/>
  <c r="J10" i="6"/>
  <c r="J9" i="6"/>
  <c r="J8" i="6"/>
  <c r="J7" i="6"/>
  <c r="J6" i="6"/>
  <c r="J4" i="6"/>
  <c r="J19" i="7"/>
  <c r="J18" i="7"/>
  <c r="J17" i="7"/>
  <c r="J16" i="7"/>
  <c r="J15" i="7"/>
  <c r="J14" i="7"/>
  <c r="J13" i="7"/>
  <c r="J12" i="7"/>
  <c r="J11" i="7"/>
  <c r="J10" i="7"/>
  <c r="J9" i="7"/>
  <c r="J8" i="7"/>
  <c r="J7" i="7"/>
  <c r="J6" i="7"/>
  <c r="J5" i="7"/>
  <c r="J4" i="7"/>
  <c r="F19" i="7"/>
  <c r="F18" i="7"/>
  <c r="F17" i="7"/>
  <c r="F16" i="7"/>
  <c r="F15" i="7"/>
  <c r="F14" i="7"/>
  <c r="F13" i="7"/>
  <c r="F12" i="7"/>
  <c r="F11" i="7"/>
  <c r="F10" i="7"/>
  <c r="F9" i="7"/>
  <c r="F8" i="7"/>
  <c r="F7" i="7"/>
  <c r="F6" i="7"/>
  <c r="F5" i="7"/>
  <c r="F4" i="7"/>
  <c r="F17" i="8"/>
  <c r="F16" i="8"/>
  <c r="F15" i="8"/>
  <c r="F14" i="8"/>
  <c r="F13" i="8"/>
  <c r="F12" i="8"/>
  <c r="F11" i="8"/>
  <c r="F10" i="8"/>
  <c r="F9" i="8"/>
  <c r="F8" i="8"/>
  <c r="F7" i="8"/>
  <c r="F6" i="8"/>
  <c r="F5" i="8"/>
  <c r="C5" i="88"/>
  <c r="D10" i="30"/>
  <c r="D6" i="57"/>
  <c r="D8" i="58"/>
  <c r="D8" i="60"/>
  <c r="D12" i="99"/>
  <c r="D11" i="99"/>
  <c r="D8" i="101"/>
  <c r="D8" i="9"/>
  <c r="D7" i="9"/>
  <c r="B8" i="95"/>
  <c r="C5" i="33"/>
  <c r="C8" i="95" s="1"/>
  <c r="D10" i="19"/>
  <c r="D8" i="63"/>
  <c r="D4" i="71"/>
  <c r="D11" i="54"/>
  <c r="D10" i="54"/>
  <c r="D8" i="68"/>
  <c r="D12" i="28"/>
  <c r="D9" i="36"/>
  <c r="D6" i="47"/>
  <c r="C22" i="4"/>
  <c r="B22" i="4"/>
  <c r="D6" i="11"/>
  <c r="D5" i="37"/>
  <c r="D8" i="35"/>
  <c r="D7" i="35"/>
  <c r="D6" i="46"/>
  <c r="D6" i="74"/>
  <c r="D6" i="15"/>
  <c r="D11" i="28"/>
  <c r="H11" i="28" s="1"/>
  <c r="D7" i="40"/>
  <c r="D7" i="68"/>
  <c r="D6" i="77"/>
  <c r="D5" i="77"/>
  <c r="D5" i="91"/>
  <c r="D15" i="75"/>
  <c r="D14" i="75"/>
  <c r="D5" i="64"/>
  <c r="D11" i="13"/>
  <c r="D7" i="43"/>
  <c r="L7" i="96"/>
  <c r="F22" i="22" l="1"/>
  <c r="F18" i="56"/>
  <c r="F26" i="11"/>
  <c r="F22" i="12"/>
  <c r="F23" i="13"/>
  <c r="F28" i="105"/>
  <c r="F24" i="20"/>
  <c r="F21" i="25"/>
  <c r="J13" i="26"/>
  <c r="F13" i="26"/>
  <c r="J11" i="28"/>
  <c r="F21" i="35"/>
  <c r="F25" i="45"/>
  <c r="F25" i="47"/>
  <c r="F24" i="49"/>
  <c r="F18" i="70"/>
  <c r="J14" i="75"/>
  <c r="H14" i="75"/>
  <c r="H29" i="75" s="1"/>
  <c r="J15" i="75"/>
  <c r="H15" i="75"/>
  <c r="F22" i="83"/>
  <c r="F20" i="97"/>
  <c r="AI104" i="104"/>
  <c r="F13" i="106"/>
  <c r="F25" i="33"/>
  <c r="F24" i="44"/>
  <c r="F18" i="27"/>
  <c r="F8" i="55"/>
  <c r="F19" i="18"/>
  <c r="D5" i="33"/>
  <c r="F18" i="71"/>
  <c r="F23" i="72"/>
  <c r="F8" i="76"/>
  <c r="F23" i="87"/>
  <c r="F23" i="90"/>
  <c r="F18" i="95"/>
  <c r="F18" i="98"/>
  <c r="F20" i="7"/>
  <c r="D5" i="11"/>
  <c r="D5" i="52"/>
  <c r="D7" i="58"/>
  <c r="D7" i="60"/>
  <c r="D6" i="84"/>
  <c r="H5" i="52" l="1"/>
  <c r="H22" i="52" s="1"/>
  <c r="J5" i="52"/>
  <c r="D7" i="85"/>
  <c r="D8" i="95"/>
  <c r="O80" i="104"/>
  <c r="D11" i="89"/>
  <c r="D12" i="93"/>
  <c r="D6" i="96"/>
  <c r="D5" i="96"/>
  <c r="D10" i="14"/>
  <c r="D9" i="14"/>
  <c r="D8" i="14"/>
  <c r="D9" i="19"/>
  <c r="D7" i="20"/>
  <c r="D9" i="54"/>
  <c r="D9" i="59"/>
  <c r="D7" i="63"/>
  <c r="D13" i="73"/>
  <c r="D12" i="73"/>
  <c r="D11" i="73"/>
  <c r="D10" i="73"/>
  <c r="D9" i="81"/>
  <c r="D7" i="82"/>
  <c r="D10" i="89"/>
  <c r="D8" i="92"/>
  <c r="D6" i="94"/>
  <c r="F6" i="94" s="1"/>
  <c r="H10" i="73" l="1"/>
  <c r="J10" i="73"/>
  <c r="H12" i="73"/>
  <c r="J12" i="73"/>
  <c r="H11" i="73"/>
  <c r="J11" i="73"/>
  <c r="D6" i="62"/>
  <c r="D6" i="24"/>
  <c r="D10" i="28"/>
  <c r="D7" i="45"/>
  <c r="D7" i="62"/>
  <c r="D7" i="66"/>
  <c r="D8" i="81"/>
  <c r="D7" i="86"/>
  <c r="F7" i="86" s="1"/>
  <c r="D7" i="92"/>
  <c r="F7" i="92" s="1"/>
  <c r="D10" i="93"/>
  <c r="D11" i="93"/>
  <c r="D5" i="97"/>
  <c r="D7" i="101"/>
  <c r="D6" i="9"/>
  <c r="D5" i="6"/>
  <c r="D6" i="92"/>
  <c r="F6" i="92" s="1"/>
  <c r="H10" i="28" l="1"/>
  <c r="H23" i="28" s="1"/>
  <c r="J10" i="28"/>
  <c r="H6" i="62"/>
  <c r="J6" i="62"/>
  <c r="H7" i="62"/>
  <c r="J7" i="62"/>
  <c r="H26" i="73"/>
  <c r="H8" i="81"/>
  <c r="H27" i="81" s="1"/>
  <c r="J8" i="81"/>
  <c r="H6" i="9"/>
  <c r="H20" i="9" s="1"/>
  <c r="J6" i="9"/>
  <c r="H5" i="6"/>
  <c r="H23" i="6" s="1"/>
  <c r="J5" i="6"/>
  <c r="J23" i="6" s="1"/>
  <c r="D11" i="23"/>
  <c r="D7" i="29"/>
  <c r="D6" i="29"/>
  <c r="D7" i="106"/>
  <c r="B5" i="4"/>
  <c r="C14" i="4"/>
  <c r="B15" i="4"/>
  <c r="C15" i="4"/>
  <c r="H11" i="23" l="1"/>
  <c r="J11" i="23"/>
  <c r="H22" i="62"/>
  <c r="D8" i="19"/>
  <c r="F8" i="19" s="1"/>
  <c r="D6" i="53"/>
  <c r="D14" i="102"/>
  <c r="H8" i="4"/>
  <c r="F6" i="53" l="1"/>
  <c r="F21" i="53" s="1"/>
  <c r="H14" i="102"/>
  <c r="J14" i="102"/>
  <c r="C9" i="89"/>
  <c r="D9" i="89" s="1"/>
  <c r="F9" i="89" s="1"/>
  <c r="C13" i="75"/>
  <c r="D13" i="75" s="1"/>
  <c r="F13" i="75" s="1"/>
  <c r="D10" i="23"/>
  <c r="D6" i="68"/>
  <c r="D9" i="93"/>
  <c r="C12" i="4" l="1"/>
  <c r="C16" i="4" s="1"/>
  <c r="B12" i="4"/>
  <c r="B16" i="4" s="1"/>
  <c r="F6" i="4"/>
  <c r="AB101" i="104" l="1"/>
  <c r="AB93" i="104"/>
  <c r="AB85" i="104"/>
  <c r="AB77" i="104"/>
  <c r="AB69" i="104"/>
  <c r="AB61" i="104"/>
  <c r="AB53" i="104"/>
  <c r="AB45" i="104"/>
  <c r="AB37" i="104"/>
  <c r="AB29" i="104"/>
  <c r="AB21" i="104"/>
  <c r="AB13" i="104"/>
  <c r="AB5" i="104"/>
  <c r="I102" i="104"/>
  <c r="I94" i="104"/>
  <c r="I86" i="104"/>
  <c r="I78" i="104"/>
  <c r="I70" i="104"/>
  <c r="I62" i="104"/>
  <c r="I54" i="104"/>
  <c r="I46" i="104"/>
  <c r="I38" i="104"/>
  <c r="I30" i="104"/>
  <c r="I22" i="104"/>
  <c r="I14" i="104"/>
  <c r="I6" i="104"/>
  <c r="AB73" i="104"/>
  <c r="AB49" i="104"/>
  <c r="I98" i="104"/>
  <c r="I66" i="104"/>
  <c r="I34" i="104"/>
  <c r="I80" i="104"/>
  <c r="I24" i="104"/>
  <c r="I95" i="104"/>
  <c r="I47" i="104"/>
  <c r="I7" i="104"/>
  <c r="AB100" i="104"/>
  <c r="AB92" i="104"/>
  <c r="AB84" i="104"/>
  <c r="AB76" i="104"/>
  <c r="AB68" i="104"/>
  <c r="AB60" i="104"/>
  <c r="AB52" i="104"/>
  <c r="AB44" i="104"/>
  <c r="AB36" i="104"/>
  <c r="AB28" i="104"/>
  <c r="AB20" i="104"/>
  <c r="AB12" i="104"/>
  <c r="I101" i="104"/>
  <c r="I93" i="104"/>
  <c r="I85" i="104"/>
  <c r="I77" i="104"/>
  <c r="I69" i="104"/>
  <c r="I61" i="104"/>
  <c r="I53" i="104"/>
  <c r="I45" i="104"/>
  <c r="I37" i="104"/>
  <c r="I29" i="104"/>
  <c r="I21" i="104"/>
  <c r="I13" i="104"/>
  <c r="AB81" i="104"/>
  <c r="AB25" i="104"/>
  <c r="I74" i="104"/>
  <c r="I42" i="104"/>
  <c r="I10" i="104"/>
  <c r="I72" i="104"/>
  <c r="I8" i="104"/>
  <c r="I87" i="104"/>
  <c r="I15" i="104"/>
  <c r="AB99" i="104"/>
  <c r="AB91" i="104"/>
  <c r="AB83" i="104"/>
  <c r="AB75" i="104"/>
  <c r="AB67" i="104"/>
  <c r="AB59" i="104"/>
  <c r="AB51" i="104"/>
  <c r="AB43" i="104"/>
  <c r="AB35" i="104"/>
  <c r="AB27" i="104"/>
  <c r="AB19" i="104"/>
  <c r="AB11" i="104"/>
  <c r="I100" i="104"/>
  <c r="I92" i="104"/>
  <c r="I84" i="104"/>
  <c r="I76" i="104"/>
  <c r="I68" i="104"/>
  <c r="I60" i="104"/>
  <c r="I52" i="104"/>
  <c r="I44" i="104"/>
  <c r="I36" i="104"/>
  <c r="I28" i="104"/>
  <c r="I20" i="104"/>
  <c r="I12" i="104"/>
  <c r="AB97" i="104"/>
  <c r="AB57" i="104"/>
  <c r="AB41" i="104"/>
  <c r="AB17" i="104"/>
  <c r="I90" i="104"/>
  <c r="I58" i="104"/>
  <c r="I18" i="104"/>
  <c r="I88" i="104"/>
  <c r="I48" i="104"/>
  <c r="I16" i="104"/>
  <c r="I103" i="104"/>
  <c r="I63" i="104"/>
  <c r="I39" i="104"/>
  <c r="AB98" i="104"/>
  <c r="AB90" i="104"/>
  <c r="AB82" i="104"/>
  <c r="AB74" i="104"/>
  <c r="AB66" i="104"/>
  <c r="AB58" i="104"/>
  <c r="AB50" i="104"/>
  <c r="AB42" i="104"/>
  <c r="AB34" i="104"/>
  <c r="AB26" i="104"/>
  <c r="AB18" i="104"/>
  <c r="AB10" i="104"/>
  <c r="I5" i="104"/>
  <c r="I99" i="104"/>
  <c r="I91" i="104"/>
  <c r="I83" i="104"/>
  <c r="I75" i="104"/>
  <c r="I67" i="104"/>
  <c r="I59" i="104"/>
  <c r="I51" i="104"/>
  <c r="I43" i="104"/>
  <c r="I35" i="104"/>
  <c r="I27" i="104"/>
  <c r="I19" i="104"/>
  <c r="I11" i="104"/>
  <c r="AB89" i="104"/>
  <c r="AB65" i="104"/>
  <c r="AB33" i="104"/>
  <c r="AB9" i="104"/>
  <c r="I82" i="104"/>
  <c r="I50" i="104"/>
  <c r="I26" i="104"/>
  <c r="I56" i="104"/>
  <c r="I32" i="104"/>
  <c r="I79" i="104"/>
  <c r="I55" i="104"/>
  <c r="I23" i="104"/>
  <c r="AB96" i="104"/>
  <c r="AB88" i="104"/>
  <c r="AB80" i="104"/>
  <c r="AB72" i="104"/>
  <c r="AB64" i="104"/>
  <c r="AB56" i="104"/>
  <c r="AB48" i="104"/>
  <c r="AB40" i="104"/>
  <c r="AB32" i="104"/>
  <c r="AB24" i="104"/>
  <c r="AB16" i="104"/>
  <c r="AB8" i="104"/>
  <c r="I97" i="104"/>
  <c r="I89" i="104"/>
  <c r="I81" i="104"/>
  <c r="I73" i="104"/>
  <c r="I65" i="104"/>
  <c r="I57" i="104"/>
  <c r="I49" i="104"/>
  <c r="I41" i="104"/>
  <c r="I33" i="104"/>
  <c r="I25" i="104"/>
  <c r="I17" i="104"/>
  <c r="I9" i="104"/>
  <c r="AB103" i="104"/>
  <c r="AB95" i="104"/>
  <c r="AB87" i="104"/>
  <c r="AB79" i="104"/>
  <c r="AB71" i="104"/>
  <c r="AB63" i="104"/>
  <c r="AB55" i="104"/>
  <c r="AB47" i="104"/>
  <c r="AB39" i="104"/>
  <c r="AB31" i="104"/>
  <c r="AB23" i="104"/>
  <c r="AB15" i="104"/>
  <c r="AB7" i="104"/>
  <c r="I96" i="104"/>
  <c r="I64" i="104"/>
  <c r="I40" i="104"/>
  <c r="I71" i="104"/>
  <c r="I31" i="104"/>
  <c r="AB102" i="104"/>
  <c r="AB94" i="104"/>
  <c r="AB86" i="104"/>
  <c r="AB78" i="104"/>
  <c r="AB70" i="104"/>
  <c r="AB62" i="104"/>
  <c r="AB54" i="104"/>
  <c r="AB46" i="104"/>
  <c r="AB38" i="104"/>
  <c r="AB30" i="104"/>
  <c r="AB22" i="104"/>
  <c r="AB14" i="104"/>
  <c r="AB6" i="104"/>
  <c r="B29" i="4"/>
  <c r="B30" i="4"/>
  <c r="D9" i="30"/>
  <c r="D8" i="30"/>
  <c r="D7" i="36"/>
  <c r="D12" i="75"/>
  <c r="F12" i="75" s="1"/>
  <c r="K71" i="104" l="1"/>
  <c r="M71" i="104"/>
  <c r="J71" i="104"/>
  <c r="J65" i="104"/>
  <c r="K65" i="104"/>
  <c r="M65" i="104"/>
  <c r="J74" i="104"/>
  <c r="K74" i="104"/>
  <c r="M74" i="104"/>
  <c r="J64" i="104"/>
  <c r="M64" i="104"/>
  <c r="K64" i="104"/>
  <c r="J81" i="104"/>
  <c r="M81" i="104"/>
  <c r="K81" i="104"/>
  <c r="K55" i="104"/>
  <c r="M55" i="104"/>
  <c r="J55" i="104"/>
  <c r="J51" i="104"/>
  <c r="M51" i="104"/>
  <c r="K51" i="104"/>
  <c r="J48" i="104"/>
  <c r="K48" i="104"/>
  <c r="M48" i="104"/>
  <c r="J68" i="104"/>
  <c r="M68" i="104"/>
  <c r="K68" i="104"/>
  <c r="J61" i="104"/>
  <c r="K61" i="104"/>
  <c r="M61" i="104"/>
  <c r="J96" i="104"/>
  <c r="K96" i="104"/>
  <c r="M96" i="104"/>
  <c r="J25" i="104"/>
  <c r="K25" i="104"/>
  <c r="M25" i="104"/>
  <c r="J89" i="104"/>
  <c r="K89" i="104"/>
  <c r="M89" i="104"/>
  <c r="K79" i="104"/>
  <c r="M79" i="104"/>
  <c r="J79" i="104"/>
  <c r="J59" i="104"/>
  <c r="M59" i="104"/>
  <c r="K59" i="104"/>
  <c r="K88" i="104"/>
  <c r="M88" i="104"/>
  <c r="J88" i="104"/>
  <c r="J12" i="104"/>
  <c r="M12" i="104"/>
  <c r="K12" i="104"/>
  <c r="J76" i="104"/>
  <c r="M76" i="104"/>
  <c r="K76" i="104"/>
  <c r="K15" i="104"/>
  <c r="M15" i="104"/>
  <c r="J15" i="104"/>
  <c r="J69" i="104"/>
  <c r="K69" i="104"/>
  <c r="M69" i="104"/>
  <c r="J98" i="104"/>
  <c r="M98" i="104"/>
  <c r="K98" i="104"/>
  <c r="J46" i="104"/>
  <c r="M46" i="104"/>
  <c r="K46" i="104"/>
  <c r="J80" i="104"/>
  <c r="K80" i="104"/>
  <c r="M80" i="104"/>
  <c r="J17" i="104"/>
  <c r="M17" i="104"/>
  <c r="K17" i="104"/>
  <c r="J66" i="104"/>
  <c r="M66" i="104"/>
  <c r="K66" i="104"/>
  <c r="J33" i="104"/>
  <c r="M33" i="104"/>
  <c r="K33" i="104"/>
  <c r="J97" i="104"/>
  <c r="K97" i="104"/>
  <c r="M97" i="104"/>
  <c r="J32" i="104"/>
  <c r="K32" i="104"/>
  <c r="M32" i="104"/>
  <c r="J67" i="104"/>
  <c r="M67" i="104"/>
  <c r="K67" i="104"/>
  <c r="J18" i="104"/>
  <c r="K18" i="104"/>
  <c r="M18" i="104"/>
  <c r="J20" i="104"/>
  <c r="M20" i="104"/>
  <c r="K20" i="104"/>
  <c r="J84" i="104"/>
  <c r="M84" i="104"/>
  <c r="K84" i="104"/>
  <c r="K87" i="104"/>
  <c r="M87" i="104"/>
  <c r="J87" i="104"/>
  <c r="J13" i="104"/>
  <c r="K13" i="104"/>
  <c r="M13" i="104"/>
  <c r="J77" i="104"/>
  <c r="K77" i="104"/>
  <c r="M77" i="104"/>
  <c r="K7" i="104"/>
  <c r="M7" i="104"/>
  <c r="J7" i="104"/>
  <c r="J54" i="104"/>
  <c r="K54" i="104"/>
  <c r="M54" i="104"/>
  <c r="J99" i="104"/>
  <c r="K99" i="104"/>
  <c r="M99" i="104"/>
  <c r="J45" i="104"/>
  <c r="M45" i="104"/>
  <c r="K45" i="104"/>
  <c r="J22" i="104"/>
  <c r="M22" i="104"/>
  <c r="K22" i="104"/>
  <c r="J73" i="104"/>
  <c r="M73" i="104"/>
  <c r="K73" i="104"/>
  <c r="J43" i="104"/>
  <c r="K43" i="104"/>
  <c r="M43" i="104"/>
  <c r="J34" i="104"/>
  <c r="M34" i="104"/>
  <c r="K34" i="104"/>
  <c r="J38" i="104"/>
  <c r="M38" i="104"/>
  <c r="K38" i="104"/>
  <c r="J41" i="104"/>
  <c r="M41" i="104"/>
  <c r="K41" i="104"/>
  <c r="K56" i="104"/>
  <c r="M56" i="104"/>
  <c r="J56" i="104"/>
  <c r="J11" i="104"/>
  <c r="M11" i="104"/>
  <c r="K11" i="104"/>
  <c r="J75" i="104"/>
  <c r="M75" i="104"/>
  <c r="K75" i="104"/>
  <c r="J58" i="104"/>
  <c r="M58" i="104"/>
  <c r="K58" i="104"/>
  <c r="J28" i="104"/>
  <c r="K28" i="104"/>
  <c r="M28" i="104"/>
  <c r="J92" i="104"/>
  <c r="K92" i="104"/>
  <c r="M92" i="104"/>
  <c r="J8" i="104"/>
  <c r="K8" i="104"/>
  <c r="M8" i="104"/>
  <c r="J21" i="104"/>
  <c r="M21" i="104"/>
  <c r="K21" i="104"/>
  <c r="J85" i="104"/>
  <c r="M85" i="104"/>
  <c r="K85" i="104"/>
  <c r="K47" i="104"/>
  <c r="J47" i="104"/>
  <c r="M47" i="104"/>
  <c r="J62" i="104"/>
  <c r="M62" i="104"/>
  <c r="K62" i="104"/>
  <c r="J82" i="104"/>
  <c r="M82" i="104"/>
  <c r="K82" i="104"/>
  <c r="K103" i="104"/>
  <c r="M103" i="104"/>
  <c r="J103" i="104"/>
  <c r="J52" i="104"/>
  <c r="M52" i="104"/>
  <c r="K52" i="104"/>
  <c r="J86" i="104"/>
  <c r="M86" i="104"/>
  <c r="K86" i="104"/>
  <c r="J40" i="104"/>
  <c r="K40" i="104"/>
  <c r="M40" i="104"/>
  <c r="J16" i="104"/>
  <c r="K16" i="104"/>
  <c r="M16" i="104"/>
  <c r="J53" i="104"/>
  <c r="K53" i="104"/>
  <c r="M53" i="104"/>
  <c r="J94" i="104"/>
  <c r="M94" i="104"/>
  <c r="K94" i="104"/>
  <c r="J26" i="104"/>
  <c r="K26" i="104"/>
  <c r="M26" i="104"/>
  <c r="J19" i="104"/>
  <c r="K19" i="104"/>
  <c r="M19" i="104"/>
  <c r="J83" i="104"/>
  <c r="M83" i="104"/>
  <c r="K83" i="104"/>
  <c r="K39" i="104"/>
  <c r="M39" i="104"/>
  <c r="J39" i="104"/>
  <c r="J90" i="104"/>
  <c r="M90" i="104"/>
  <c r="K90" i="104"/>
  <c r="J36" i="104"/>
  <c r="K36" i="104"/>
  <c r="M36" i="104"/>
  <c r="J100" i="104"/>
  <c r="K100" i="104"/>
  <c r="M100" i="104"/>
  <c r="J72" i="104"/>
  <c r="K72" i="104"/>
  <c r="M72" i="104"/>
  <c r="J29" i="104"/>
  <c r="M29" i="104"/>
  <c r="K29" i="104"/>
  <c r="J93" i="104"/>
  <c r="K93" i="104"/>
  <c r="M93" i="104"/>
  <c r="K95" i="104"/>
  <c r="J95" i="104"/>
  <c r="M95" i="104"/>
  <c r="J6" i="104"/>
  <c r="K6" i="104"/>
  <c r="M6" i="104"/>
  <c r="J70" i="104"/>
  <c r="K70" i="104"/>
  <c r="M70" i="104"/>
  <c r="J35" i="104"/>
  <c r="K35" i="104"/>
  <c r="M35" i="104"/>
  <c r="J42" i="104"/>
  <c r="M42" i="104"/>
  <c r="K42" i="104"/>
  <c r="J9" i="104"/>
  <c r="K9" i="104"/>
  <c r="M9" i="104"/>
  <c r="K23" i="104"/>
  <c r="M23" i="104"/>
  <c r="J23" i="104"/>
  <c r="J5" i="104"/>
  <c r="M5" i="104"/>
  <c r="K5" i="104"/>
  <c r="I104" i="104"/>
  <c r="J60" i="104"/>
  <c r="M60" i="104"/>
  <c r="K60" i="104"/>
  <c r="J30" i="104"/>
  <c r="M30" i="104"/>
  <c r="K30" i="104"/>
  <c r="J102" i="104"/>
  <c r="M102" i="104"/>
  <c r="K102" i="104"/>
  <c r="J49" i="104"/>
  <c r="K49" i="104"/>
  <c r="M49" i="104"/>
  <c r="K31" i="104"/>
  <c r="M31" i="104"/>
  <c r="J31" i="104"/>
  <c r="J57" i="104"/>
  <c r="K57" i="104"/>
  <c r="M57" i="104"/>
  <c r="J50" i="104"/>
  <c r="M50" i="104"/>
  <c r="K50" i="104"/>
  <c r="J27" i="104"/>
  <c r="K27" i="104"/>
  <c r="M27" i="104"/>
  <c r="J91" i="104"/>
  <c r="M91" i="104"/>
  <c r="K91" i="104"/>
  <c r="K63" i="104"/>
  <c r="M63" i="104"/>
  <c r="J63" i="104"/>
  <c r="J44" i="104"/>
  <c r="K44" i="104"/>
  <c r="M44" i="104"/>
  <c r="J10" i="104"/>
  <c r="K10" i="104"/>
  <c r="M10" i="104"/>
  <c r="J37" i="104"/>
  <c r="M37" i="104"/>
  <c r="K37" i="104"/>
  <c r="J101" i="104"/>
  <c r="M101" i="104"/>
  <c r="K101" i="104"/>
  <c r="K24" i="104"/>
  <c r="J24" i="104"/>
  <c r="M24" i="104"/>
  <c r="J14" i="104"/>
  <c r="M14" i="104"/>
  <c r="K14" i="104"/>
  <c r="J78" i="104"/>
  <c r="M78" i="104"/>
  <c r="K78" i="104"/>
  <c r="H104" i="104"/>
  <c r="AB104" i="104"/>
  <c r="D4" i="44" l="1"/>
  <c r="D6" i="65"/>
  <c r="D5" i="90"/>
  <c r="D8" i="93"/>
  <c r="F8" i="93" s="1"/>
  <c r="D7" i="93"/>
  <c r="C10" i="4"/>
  <c r="C21" i="4"/>
  <c r="J24" i="44" l="1"/>
  <c r="C68" i="5" s="1"/>
  <c r="B21" i="4"/>
  <c r="D6" i="79"/>
  <c r="D5" i="34"/>
  <c r="D10" i="13"/>
  <c r="D9" i="13"/>
  <c r="D6" i="43"/>
  <c r="D8" i="70"/>
  <c r="D6" i="83"/>
  <c r="D13" i="102"/>
  <c r="D7" i="19"/>
  <c r="F7" i="19" s="1"/>
  <c r="D9" i="28"/>
  <c r="F9" i="28" s="1"/>
  <c r="D4" i="105"/>
  <c r="D6" i="60"/>
  <c r="F6" i="60" s="1"/>
  <c r="D5" i="67"/>
  <c r="F5" i="67" s="1"/>
  <c r="J6" i="43" l="1"/>
  <c r="H6" i="43"/>
  <c r="H20" i="43" s="1"/>
  <c r="H13" i="102"/>
  <c r="J13" i="102"/>
  <c r="C24" i="4"/>
  <c r="B24" i="4"/>
  <c r="E33" i="107"/>
  <c r="E34" i="107" s="1"/>
  <c r="C34" i="107"/>
  <c r="E22" i="107"/>
  <c r="E23" i="107" s="1"/>
  <c r="C23" i="107"/>
  <c r="E9" i="107"/>
  <c r="AC96" i="104" l="1"/>
  <c r="AC88" i="104"/>
  <c r="AC80" i="104"/>
  <c r="AC72" i="104"/>
  <c r="AC64" i="104"/>
  <c r="AC56" i="104"/>
  <c r="AC48" i="104"/>
  <c r="AC40" i="104"/>
  <c r="AC32" i="104"/>
  <c r="AC24" i="104"/>
  <c r="AC16" i="104"/>
  <c r="AC8" i="104"/>
  <c r="AC77" i="104"/>
  <c r="AC69" i="104"/>
  <c r="AC45" i="104"/>
  <c r="AC21" i="104"/>
  <c r="AC92" i="104"/>
  <c r="AC60" i="104"/>
  <c r="AC44" i="104"/>
  <c r="AC28" i="104"/>
  <c r="AC83" i="104"/>
  <c r="AC51" i="104"/>
  <c r="AC35" i="104"/>
  <c r="AC19" i="104"/>
  <c r="AC103" i="104"/>
  <c r="AC95" i="104"/>
  <c r="AC87" i="104"/>
  <c r="AC79" i="104"/>
  <c r="AC71" i="104"/>
  <c r="AC63" i="104"/>
  <c r="AC55" i="104"/>
  <c r="AC47" i="104"/>
  <c r="AC39" i="104"/>
  <c r="AC31" i="104"/>
  <c r="AC23" i="104"/>
  <c r="AC15" i="104"/>
  <c r="AC7" i="104"/>
  <c r="AC85" i="104"/>
  <c r="AC53" i="104"/>
  <c r="AC29" i="104"/>
  <c r="AC76" i="104"/>
  <c r="AC36" i="104"/>
  <c r="AC12" i="104"/>
  <c r="AC75" i="104"/>
  <c r="AC27" i="104"/>
  <c r="AC102" i="104"/>
  <c r="AC94" i="104"/>
  <c r="AC86" i="104"/>
  <c r="AC78" i="104"/>
  <c r="AC70" i="104"/>
  <c r="AC62" i="104"/>
  <c r="AC54" i="104"/>
  <c r="AC46" i="104"/>
  <c r="AC38" i="104"/>
  <c r="AC30" i="104"/>
  <c r="AC22" i="104"/>
  <c r="AC14" i="104"/>
  <c r="AC6" i="104"/>
  <c r="AC93" i="104"/>
  <c r="AC61" i="104"/>
  <c r="AC37" i="104"/>
  <c r="AC13" i="104"/>
  <c r="AC84" i="104"/>
  <c r="AC68" i="104"/>
  <c r="AC52" i="104"/>
  <c r="AC20" i="104"/>
  <c r="AC91" i="104"/>
  <c r="AC59" i="104"/>
  <c r="AC43" i="104"/>
  <c r="AC101" i="104"/>
  <c r="AC100" i="104"/>
  <c r="AC99" i="104"/>
  <c r="AC98" i="104"/>
  <c r="AC90" i="104"/>
  <c r="AC82" i="104"/>
  <c r="AC74" i="104"/>
  <c r="AC66" i="104"/>
  <c r="AC58" i="104"/>
  <c r="AC50" i="104"/>
  <c r="AC42" i="104"/>
  <c r="AC34" i="104"/>
  <c r="AC26" i="104"/>
  <c r="AC18" i="104"/>
  <c r="AC10" i="104"/>
  <c r="AC97" i="104"/>
  <c r="AC89" i="104"/>
  <c r="AC81" i="104"/>
  <c r="AC73" i="104"/>
  <c r="AC65" i="104"/>
  <c r="AC57" i="104"/>
  <c r="AC49" i="104"/>
  <c r="AC41" i="104"/>
  <c r="AC33" i="104"/>
  <c r="AC25" i="104"/>
  <c r="AC17" i="104"/>
  <c r="AC9" i="104"/>
  <c r="AC67" i="104"/>
  <c r="AC11" i="104"/>
  <c r="C29" i="4"/>
  <c r="C30" i="4"/>
  <c r="C28" i="4"/>
  <c r="B28" i="4"/>
  <c r="E8" i="107"/>
  <c r="C9" i="107"/>
  <c r="AC104" i="104" l="1"/>
  <c r="G104" i="104"/>
  <c r="D28" i="4"/>
  <c r="D30" i="4"/>
  <c r="D29" i="4"/>
  <c r="E104" i="104"/>
  <c r="D4" i="11"/>
  <c r="D4" i="33"/>
  <c r="D6" i="35"/>
  <c r="D8" i="49"/>
  <c r="D11" i="75"/>
  <c r="F11" i="75" s="1"/>
  <c r="D5" i="84"/>
  <c r="F5" i="84" s="1"/>
  <c r="D8" i="89"/>
  <c r="F8" i="89" l="1"/>
  <c r="F20" i="89" s="1"/>
  <c r="F104" i="104"/>
  <c r="D8" i="54"/>
  <c r="F8" i="54" s="1"/>
  <c r="D7" i="59"/>
  <c r="F7" i="59" s="1"/>
  <c r="D7" i="70"/>
  <c r="D7" i="81"/>
  <c r="F7" i="81" s="1"/>
  <c r="D6" i="81"/>
  <c r="F6" i="81" s="1"/>
  <c r="D5" i="81"/>
  <c r="F5" i="81" s="1"/>
  <c r="D5" i="94"/>
  <c r="F5" i="94" s="1"/>
  <c r="D4" i="94"/>
  <c r="D10" i="99"/>
  <c r="F10" i="99" s="1"/>
  <c r="D9" i="99"/>
  <c r="F9" i="99" s="1"/>
  <c r="J27" i="81" l="1"/>
  <c r="C30" i="5" s="1"/>
  <c r="J23" i="94"/>
  <c r="C17" i="5" s="1"/>
  <c r="F23" i="94"/>
  <c r="K104" i="104"/>
  <c r="M104" i="104"/>
  <c r="F27" i="81" l="1"/>
  <c r="D7" i="12"/>
  <c r="D5" i="15"/>
  <c r="D11" i="16"/>
  <c r="F11" i="16" s="1"/>
  <c r="F26" i="15" l="1"/>
  <c r="F5" i="15"/>
  <c r="D7" i="17"/>
  <c r="F7" i="17" s="1"/>
  <c r="D9" i="23"/>
  <c r="D8" i="28"/>
  <c r="D4" i="39"/>
  <c r="D7" i="38"/>
  <c r="F7" i="38" s="1"/>
  <c r="D4" i="50"/>
  <c r="D6" i="66"/>
  <c r="D4" i="90"/>
  <c r="H9" i="23" l="1"/>
  <c r="H28" i="23" s="1"/>
  <c r="J9" i="23"/>
  <c r="F4" i="50"/>
  <c r="F23" i="50" s="1"/>
  <c r="D7" i="28"/>
  <c r="F7" i="28" s="1"/>
  <c r="D6" i="40"/>
  <c r="D5" i="46"/>
  <c r="F5" i="46" s="1"/>
  <c r="D5" i="65"/>
  <c r="D6" i="70"/>
  <c r="F6" i="40" l="1"/>
  <c r="F21" i="40" s="1"/>
  <c r="H5" i="65"/>
  <c r="H18" i="65" s="1"/>
  <c r="J5" i="65"/>
  <c r="D12" i="102"/>
  <c r="H12" i="102" l="1"/>
  <c r="J12" i="102"/>
  <c r="D8" i="23"/>
  <c r="D6" i="30"/>
  <c r="D5" i="30"/>
  <c r="D6" i="38"/>
  <c r="D5" i="47"/>
  <c r="F24" i="38" l="1"/>
  <c r="F6" i="38"/>
  <c r="D7" i="49"/>
  <c r="D5" i="68"/>
  <c r="F5" i="68" s="1"/>
  <c r="D4" i="68"/>
  <c r="D5" i="85"/>
  <c r="C10" i="75"/>
  <c r="D10" i="75" s="1"/>
  <c r="F10" i="75" s="1"/>
  <c r="C7" i="99"/>
  <c r="D7" i="99" s="1"/>
  <c r="F7" i="99" s="1"/>
  <c r="F4" i="68" l="1"/>
  <c r="F23" i="68" s="1"/>
  <c r="F24" i="85"/>
  <c r="F5" i="85"/>
  <c r="D5" i="21"/>
  <c r="F5" i="21" s="1"/>
  <c r="D7" i="23"/>
  <c r="D7" i="73"/>
  <c r="F7" i="73" s="1"/>
  <c r="D4" i="96"/>
  <c r="F4" i="96" l="1"/>
  <c r="F18" i="96" s="1"/>
  <c r="D6" i="69"/>
  <c r="F6" i="69" s="1"/>
  <c r="D4" i="85"/>
  <c r="D5" i="87"/>
  <c r="D7" i="8"/>
  <c r="D5" i="35" l="1"/>
  <c r="D5" i="38"/>
  <c r="D6" i="93"/>
  <c r="F6" i="93" s="1"/>
  <c r="D5" i="100"/>
  <c r="D5" i="9"/>
  <c r="F5" i="9" s="1"/>
  <c r="D4" i="6"/>
  <c r="F4" i="6" s="1"/>
  <c r="F23" i="6" s="1"/>
  <c r="D5" i="12" l="1"/>
  <c r="D6" i="14"/>
  <c r="F6" i="14" s="1"/>
  <c r="D9" i="75"/>
  <c r="F9" i="75" s="1"/>
  <c r="D7" i="95"/>
  <c r="H7" i="95" l="1"/>
  <c r="J7" i="95"/>
  <c r="D5" i="32"/>
  <c r="D5" i="60"/>
  <c r="D8" i="75"/>
  <c r="F8" i="75" s="1"/>
  <c r="D7" i="75"/>
  <c r="F7" i="75" s="1"/>
  <c r="D9" i="88"/>
  <c r="F9" i="88" s="1"/>
  <c r="D6" i="101"/>
  <c r="F6" i="101" s="1"/>
  <c r="D5" i="101"/>
  <c r="F5" i="101" s="1"/>
  <c r="F5" i="32" l="1"/>
  <c r="F23" i="32" s="1"/>
  <c r="F5" i="60"/>
  <c r="F23" i="60" s="1"/>
  <c r="D6" i="19"/>
  <c r="D5" i="41"/>
  <c r="D6" i="59"/>
  <c r="F6" i="59" s="1"/>
  <c r="D5" i="62"/>
  <c r="F5" i="62" s="1"/>
  <c r="F22" i="62" s="1"/>
  <c r="D4" i="65"/>
  <c r="D5" i="74"/>
  <c r="F5" i="74" s="1"/>
  <c r="D8" i="88"/>
  <c r="D5" i="8"/>
  <c r="F6" i="19" l="1"/>
  <c r="F19" i="19" s="1"/>
  <c r="F17" i="41"/>
  <c r="F5" i="41"/>
  <c r="F4" i="65"/>
  <c r="F18" i="65" s="1"/>
  <c r="F24" i="88"/>
  <c r="F8" i="88"/>
  <c r="BC104" i="104"/>
  <c r="D4" i="30" l="1"/>
  <c r="D5" i="31"/>
  <c r="F5" i="31" s="1"/>
  <c r="D4" i="43"/>
  <c r="D4" i="77"/>
  <c r="D5" i="80"/>
  <c r="F5" i="80" s="1"/>
  <c r="D4" i="80"/>
  <c r="F4" i="80" s="1"/>
  <c r="D5" i="95"/>
  <c r="D11" i="102"/>
  <c r="H11" i="102" s="1"/>
  <c r="D4" i="8"/>
  <c r="F4" i="8" s="1"/>
  <c r="D4" i="7"/>
  <c r="F4" i="30" l="1"/>
  <c r="F22" i="30" s="1"/>
  <c r="F4" i="43"/>
  <c r="F20" i="43" s="1"/>
  <c r="F4" i="77"/>
  <c r="F21" i="77" s="1"/>
  <c r="F18" i="80"/>
  <c r="F18" i="8"/>
  <c r="D34" i="107"/>
  <c r="I34" i="107" s="1"/>
  <c r="I33" i="107"/>
  <c r="F33" i="107"/>
  <c r="I32" i="107"/>
  <c r="H32" i="107"/>
  <c r="F32" i="107"/>
  <c r="G32" i="107" s="1"/>
  <c r="I31" i="107"/>
  <c r="H31" i="107"/>
  <c r="F31" i="107"/>
  <c r="G31" i="107" s="1"/>
  <c r="I30" i="107"/>
  <c r="H30" i="107"/>
  <c r="F30" i="107"/>
  <c r="G30" i="107" s="1"/>
  <c r="H29" i="107"/>
  <c r="F29" i="107"/>
  <c r="G29" i="107" s="1"/>
  <c r="I23" i="107"/>
  <c r="I22" i="107"/>
  <c r="F22" i="107"/>
  <c r="I21" i="107"/>
  <c r="H21" i="107"/>
  <c r="F21" i="107"/>
  <c r="G21" i="107" s="1"/>
  <c r="I20" i="107"/>
  <c r="H20" i="107"/>
  <c r="F20" i="107"/>
  <c r="G20" i="107" s="1"/>
  <c r="I19" i="107"/>
  <c r="H19" i="107"/>
  <c r="F19" i="107"/>
  <c r="G19" i="107" s="1"/>
  <c r="H18" i="107"/>
  <c r="F18" i="107"/>
  <c r="G18" i="107" s="1"/>
  <c r="F34" i="107" l="1"/>
  <c r="H33" i="107"/>
  <c r="G33" i="107"/>
  <c r="G22" i="107"/>
  <c r="F23" i="107"/>
  <c r="H22" i="107"/>
  <c r="G34" i="107" l="1"/>
  <c r="F35" i="107"/>
  <c r="G35" i="107" s="1"/>
  <c r="H34" i="107"/>
  <c r="G23" i="107"/>
  <c r="F24" i="107"/>
  <c r="G24" i="107" s="1"/>
  <c r="H23" i="107"/>
  <c r="I6" i="107"/>
  <c r="I7" i="107"/>
  <c r="I8" i="107"/>
  <c r="I5" i="107"/>
  <c r="H8" i="107"/>
  <c r="H5" i="107"/>
  <c r="H6" i="107"/>
  <c r="H7" i="107"/>
  <c r="H4" i="107"/>
  <c r="I9" i="107"/>
  <c r="F5" i="107"/>
  <c r="G5" i="107" s="1"/>
  <c r="F6" i="107"/>
  <c r="G6" i="107" s="1"/>
  <c r="F7" i="107"/>
  <c r="G7" i="107" s="1"/>
  <c r="F4" i="107"/>
  <c r="G4" i="107" s="1"/>
  <c r="F8" i="107" l="1"/>
  <c r="G8" i="107" s="1"/>
  <c r="F9" i="107"/>
  <c r="G9" i="107" s="1"/>
  <c r="H9" i="107" l="1"/>
  <c r="R104" i="104" l="1"/>
  <c r="S104" i="104"/>
  <c r="P104" i="104" l="1"/>
  <c r="D8" i="16"/>
  <c r="F8" i="16" s="1"/>
  <c r="D7" i="16"/>
  <c r="F7" i="16" s="1"/>
  <c r="D5" i="29"/>
  <c r="F5" i="29" s="1"/>
  <c r="D9" i="42"/>
  <c r="F9" i="42" s="1"/>
  <c r="D8" i="42"/>
  <c r="F8" i="42" s="1"/>
  <c r="D4" i="46"/>
  <c r="F4" i="46" l="1"/>
  <c r="F15" i="46" s="1"/>
  <c r="D5" i="66"/>
  <c r="F5" i="66" s="1"/>
  <c r="D6" i="75"/>
  <c r="F6" i="75" s="1"/>
  <c r="D5" i="10"/>
  <c r="F5" i="10" s="1"/>
  <c r="F29" i="75" l="1"/>
  <c r="Q104" i="104"/>
  <c r="D6" i="102"/>
  <c r="H6" i="102" s="1"/>
  <c r="H30" i="102" s="1"/>
  <c r="D6" i="23"/>
  <c r="C6" i="23"/>
  <c r="C6" i="102"/>
  <c r="D6" i="16"/>
  <c r="F6" i="16" s="1"/>
  <c r="D4" i="66"/>
  <c r="F4" i="66" l="1"/>
  <c r="F25" i="66" s="1"/>
  <c r="D5" i="20"/>
  <c r="D6" i="28"/>
  <c r="F6" i="28" s="1"/>
  <c r="D4" i="47"/>
  <c r="D4" i="48"/>
  <c r="D6" i="82"/>
  <c r="F6" i="82" s="1"/>
  <c r="D5" i="102"/>
  <c r="F5" i="102" s="1"/>
  <c r="H5" i="20" l="1"/>
  <c r="J5" i="20"/>
  <c r="F4" i="48"/>
  <c r="F25" i="48" s="1"/>
  <c r="D4" i="21"/>
  <c r="D5" i="28"/>
  <c r="F5" i="28" s="1"/>
  <c r="D4" i="93"/>
  <c r="F4" i="21" l="1"/>
  <c r="F25" i="21" s="1"/>
  <c r="F4" i="93"/>
  <c r="F25" i="93" s="1"/>
  <c r="D4" i="13"/>
  <c r="D4" i="58"/>
  <c r="D4" i="70"/>
  <c r="D5" i="73"/>
  <c r="F5" i="73" s="1"/>
  <c r="D4" i="102"/>
  <c r="F4" i="102" s="1"/>
  <c r="H4" i="13" l="1"/>
  <c r="H23" i="13" s="1"/>
  <c r="J4" i="13"/>
  <c r="F24" i="58"/>
  <c r="F4" i="58"/>
  <c r="F30" i="102"/>
  <c r="O39" i="104"/>
  <c r="D4" i="73"/>
  <c r="D4" i="67"/>
  <c r="F4" i="67" s="1"/>
  <c r="D5" i="63"/>
  <c r="F5" i="63" s="1"/>
  <c r="D4" i="63"/>
  <c r="F4" i="63" s="1"/>
  <c r="D6" i="61"/>
  <c r="D5" i="61"/>
  <c r="F5" i="61" s="1"/>
  <c r="N77" i="104"/>
  <c r="D5" i="36"/>
  <c r="F5" i="36" s="1"/>
  <c r="D4" i="29"/>
  <c r="F4" i="29" s="1"/>
  <c r="N99" i="104"/>
  <c r="D4" i="15"/>
  <c r="AN104" i="104"/>
  <c r="D5" i="23"/>
  <c r="N68" i="104"/>
  <c r="D5" i="45"/>
  <c r="D4" i="45"/>
  <c r="D4" i="49"/>
  <c r="J21" i="35"/>
  <c r="C77" i="5" s="1"/>
  <c r="O50" i="104"/>
  <c r="D4" i="62"/>
  <c r="J22" i="62"/>
  <c r="C49" i="5" s="1"/>
  <c r="D5" i="86"/>
  <c r="O20" i="104"/>
  <c r="N20" i="104"/>
  <c r="D4" i="92"/>
  <c r="D4" i="101"/>
  <c r="F4" i="101" s="1"/>
  <c r="D4" i="100"/>
  <c r="O23" i="104"/>
  <c r="D4" i="89"/>
  <c r="N26" i="104"/>
  <c r="D4" i="86"/>
  <c r="D4" i="84"/>
  <c r="F4" i="84" s="1"/>
  <c r="D5" i="82"/>
  <c r="F5" i="82" s="1"/>
  <c r="D4" i="82"/>
  <c r="F4" i="82" s="1"/>
  <c r="O38" i="104"/>
  <c r="D4" i="74"/>
  <c r="N43" i="104"/>
  <c r="D4" i="69"/>
  <c r="O52" i="104"/>
  <c r="D4" i="61"/>
  <c r="F4" i="61" s="1"/>
  <c r="D4" i="60"/>
  <c r="O53" i="104"/>
  <c r="D4" i="59"/>
  <c r="F4" i="59" s="1"/>
  <c r="N59" i="104"/>
  <c r="D4" i="54"/>
  <c r="F4" i="54" s="1"/>
  <c r="D4" i="52"/>
  <c r="F4" i="52" s="1"/>
  <c r="O82" i="104"/>
  <c r="N82" i="104"/>
  <c r="D4" i="31"/>
  <c r="N100" i="104"/>
  <c r="D5" i="16"/>
  <c r="F5" i="16" s="1"/>
  <c r="D4" i="16"/>
  <c r="F4" i="16" s="1"/>
  <c r="D5" i="14"/>
  <c r="J20" i="89"/>
  <c r="C22" i="5" s="1"/>
  <c r="J24" i="100"/>
  <c r="C11" i="5" s="1"/>
  <c r="O9" i="104"/>
  <c r="N9" i="104"/>
  <c r="D4" i="10"/>
  <c r="D4" i="99"/>
  <c r="O17" i="104"/>
  <c r="N17" i="104"/>
  <c r="D4" i="95"/>
  <c r="D4" i="91"/>
  <c r="F4" i="91" s="1"/>
  <c r="D5" i="79"/>
  <c r="F5" i="79" s="1"/>
  <c r="D4" i="79"/>
  <c r="F4" i="79" s="1"/>
  <c r="O56" i="104"/>
  <c r="D4" i="57"/>
  <c r="O85" i="104"/>
  <c r="D4" i="28"/>
  <c r="O89" i="104"/>
  <c r="D4" i="24"/>
  <c r="O93" i="104"/>
  <c r="N93" i="104"/>
  <c r="D4" i="20"/>
  <c r="D5" i="17"/>
  <c r="D4" i="12"/>
  <c r="O24" i="104"/>
  <c r="D4" i="42"/>
  <c r="F4" i="42" s="1"/>
  <c r="D4" i="38"/>
  <c r="O81" i="104"/>
  <c r="D4" i="32"/>
  <c r="O95" i="104"/>
  <c r="AE104" i="104"/>
  <c r="D4" i="18"/>
  <c r="D4" i="9"/>
  <c r="D4" i="36"/>
  <c r="F4" i="36" s="1"/>
  <c r="N87" i="104"/>
  <c r="O79" i="104"/>
  <c r="O60" i="104"/>
  <c r="N60" i="104"/>
  <c r="C4" i="64"/>
  <c r="C4" i="53" s="1"/>
  <c r="B4" i="53"/>
  <c r="A4" i="53"/>
  <c r="D4" i="23"/>
  <c r="D4" i="34"/>
  <c r="C4" i="5"/>
  <c r="T5" i="104" s="1"/>
  <c r="U5" i="104" s="1"/>
  <c r="W5" i="104" s="1"/>
  <c r="N6" i="104"/>
  <c r="O6" i="104"/>
  <c r="N7" i="104"/>
  <c r="O7" i="104"/>
  <c r="N8" i="104"/>
  <c r="O8" i="104"/>
  <c r="N10" i="104"/>
  <c r="O10" i="104"/>
  <c r="N11" i="104"/>
  <c r="O11" i="104"/>
  <c r="N12" i="104"/>
  <c r="O12" i="104"/>
  <c r="N13" i="104"/>
  <c r="O13" i="104"/>
  <c r="N14" i="104"/>
  <c r="O14" i="104"/>
  <c r="N15" i="104"/>
  <c r="O15" i="104"/>
  <c r="N16" i="104"/>
  <c r="O16" i="104"/>
  <c r="N18" i="104"/>
  <c r="O18" i="104"/>
  <c r="N19" i="104"/>
  <c r="O19" i="104"/>
  <c r="O21" i="104"/>
  <c r="N22" i="104"/>
  <c r="O22" i="104"/>
  <c r="N23" i="104"/>
  <c r="N24" i="104"/>
  <c r="N25" i="104"/>
  <c r="O25" i="104"/>
  <c r="O26" i="104"/>
  <c r="N27" i="104"/>
  <c r="O27" i="104"/>
  <c r="N28" i="104"/>
  <c r="O28" i="104"/>
  <c r="N29" i="104"/>
  <c r="O29" i="104"/>
  <c r="O30" i="104"/>
  <c r="N30" i="104"/>
  <c r="N31" i="104"/>
  <c r="O31" i="104"/>
  <c r="N32" i="104"/>
  <c r="O32" i="104"/>
  <c r="N33" i="104"/>
  <c r="O33" i="104"/>
  <c r="N34" i="104"/>
  <c r="O34" i="104"/>
  <c r="N35" i="104"/>
  <c r="O35" i="104"/>
  <c r="N36" i="104"/>
  <c r="O36" i="104"/>
  <c r="N37" i="104"/>
  <c r="O37" i="104"/>
  <c r="N38" i="104"/>
  <c r="N40" i="104"/>
  <c r="O40" i="104"/>
  <c r="N41" i="104"/>
  <c r="O41" i="104"/>
  <c r="N42" i="104"/>
  <c r="O42" i="104"/>
  <c r="O43" i="104"/>
  <c r="N44" i="104"/>
  <c r="O44" i="104"/>
  <c r="N45" i="104"/>
  <c r="O45" i="104"/>
  <c r="N46" i="104"/>
  <c r="O46" i="104"/>
  <c r="N47" i="104"/>
  <c r="O47" i="104"/>
  <c r="N49" i="104"/>
  <c r="O49" i="104"/>
  <c r="N50" i="104"/>
  <c r="N51" i="104"/>
  <c r="N52" i="104"/>
  <c r="N53" i="104"/>
  <c r="N54" i="104"/>
  <c r="O54" i="104"/>
  <c r="N55" i="104"/>
  <c r="O55" i="104"/>
  <c r="N56" i="104"/>
  <c r="N57" i="104"/>
  <c r="O57" i="104"/>
  <c r="N58" i="104"/>
  <c r="O58" i="104"/>
  <c r="O59" i="104"/>
  <c r="N61" i="104"/>
  <c r="O61" i="104"/>
  <c r="N62" i="104"/>
  <c r="O62" i="104"/>
  <c r="N63" i="104"/>
  <c r="O63" i="104"/>
  <c r="N64" i="104"/>
  <c r="O64" i="104"/>
  <c r="N65" i="104"/>
  <c r="O65" i="104"/>
  <c r="N66" i="104"/>
  <c r="O66" i="104"/>
  <c r="N67" i="104"/>
  <c r="O67" i="104"/>
  <c r="O68" i="104"/>
  <c r="N69" i="104"/>
  <c r="O69" i="104"/>
  <c r="N70" i="104"/>
  <c r="O70" i="104"/>
  <c r="N71" i="104"/>
  <c r="N72" i="104"/>
  <c r="O72" i="104"/>
  <c r="N73" i="104"/>
  <c r="O73" i="104"/>
  <c r="N74" i="104"/>
  <c r="O74" i="104"/>
  <c r="N75" i="104"/>
  <c r="O75" i="104"/>
  <c r="N76" i="104"/>
  <c r="O76" i="104"/>
  <c r="N78" i="104"/>
  <c r="O78" i="104"/>
  <c r="N79" i="104"/>
  <c r="N80" i="104"/>
  <c r="N81" i="104"/>
  <c r="N83" i="104"/>
  <c r="O83" i="104"/>
  <c r="N84" i="104"/>
  <c r="O84" i="104"/>
  <c r="N85" i="104"/>
  <c r="O86" i="104"/>
  <c r="N86" i="104"/>
  <c r="O87" i="104"/>
  <c r="N88" i="104"/>
  <c r="O88" i="104"/>
  <c r="N89" i="104"/>
  <c r="N90" i="104"/>
  <c r="N91" i="104"/>
  <c r="O91" i="104"/>
  <c r="N92" i="104"/>
  <c r="O92" i="104"/>
  <c r="N94" i="104"/>
  <c r="O94" i="104"/>
  <c r="N96" i="104"/>
  <c r="N97" i="104"/>
  <c r="O97" i="104"/>
  <c r="N98" i="104"/>
  <c r="O99" i="104"/>
  <c r="O100" i="104"/>
  <c r="N101" i="104"/>
  <c r="O101" i="104"/>
  <c r="N102" i="104"/>
  <c r="O102" i="104"/>
  <c r="N103" i="104"/>
  <c r="O103" i="104"/>
  <c r="C104" i="104"/>
  <c r="AS104" i="104"/>
  <c r="AT104" i="104"/>
  <c r="AU104" i="104"/>
  <c r="AV104" i="104"/>
  <c r="AW104" i="104"/>
  <c r="AX104" i="104"/>
  <c r="AY104" i="104"/>
  <c r="AZ104" i="104"/>
  <c r="BA104" i="104"/>
  <c r="BB104" i="104"/>
  <c r="F5" i="14" l="1"/>
  <c r="F20" i="14" s="1"/>
  <c r="F29" i="17"/>
  <c r="F5" i="17"/>
  <c r="H4" i="20"/>
  <c r="H24" i="20" s="1"/>
  <c r="J4" i="20"/>
  <c r="J24" i="20" s="1"/>
  <c r="C92" i="5" s="1"/>
  <c r="F4" i="23"/>
  <c r="F28" i="23" s="1"/>
  <c r="F4" i="24"/>
  <c r="F21" i="24" s="1"/>
  <c r="F4" i="28"/>
  <c r="F23" i="28" s="1"/>
  <c r="F4" i="31"/>
  <c r="F23" i="31" s="1"/>
  <c r="F4" i="34"/>
  <c r="F19" i="34" s="1"/>
  <c r="F4" i="57"/>
  <c r="F15" i="57" s="1"/>
  <c r="F21" i="69"/>
  <c r="F4" i="69"/>
  <c r="F4" i="73"/>
  <c r="F26" i="73" s="1"/>
  <c r="F4" i="74"/>
  <c r="F25" i="74" s="1"/>
  <c r="F5" i="86"/>
  <c r="F22" i="86" s="1"/>
  <c r="F22" i="92"/>
  <c r="F4" i="92"/>
  <c r="H4" i="95"/>
  <c r="H18" i="95" s="1"/>
  <c r="J4" i="95"/>
  <c r="J18" i="95" s="1"/>
  <c r="C16" i="5" s="1"/>
  <c r="F4" i="99"/>
  <c r="F23" i="99" s="1"/>
  <c r="F24" i="100"/>
  <c r="F4" i="100"/>
  <c r="F23" i="10"/>
  <c r="F4" i="10"/>
  <c r="F20" i="9"/>
  <c r="F4" i="9"/>
  <c r="X5" i="104"/>
  <c r="Y5" i="104" s="1"/>
  <c r="V5" i="104"/>
  <c r="J26" i="11"/>
  <c r="C102" i="5" s="1"/>
  <c r="J20" i="14"/>
  <c r="C99" i="5" s="1"/>
  <c r="F20" i="16"/>
  <c r="J28" i="105"/>
  <c r="C96" i="5" s="1"/>
  <c r="J21" i="24"/>
  <c r="C88" i="5" s="1"/>
  <c r="C86" i="5"/>
  <c r="J17" i="29"/>
  <c r="C83" i="5" s="1"/>
  <c r="F17" i="29"/>
  <c r="J23" i="31"/>
  <c r="C81" i="5" s="1"/>
  <c r="J19" i="34"/>
  <c r="C78" i="5" s="1"/>
  <c r="F31" i="36"/>
  <c r="J24" i="38"/>
  <c r="C73" i="5" s="1"/>
  <c r="F20" i="42"/>
  <c r="J25" i="45"/>
  <c r="C67" i="5" s="1"/>
  <c r="F22" i="52"/>
  <c r="F22" i="54"/>
  <c r="J15" i="57"/>
  <c r="C55" i="5" s="1"/>
  <c r="F24" i="59"/>
  <c r="F10" i="61"/>
  <c r="F27" i="63"/>
  <c r="J27" i="63"/>
  <c r="C48" i="5" s="1"/>
  <c r="J28" i="67"/>
  <c r="C44" i="5" s="1"/>
  <c r="F28" i="67"/>
  <c r="J22" i="79"/>
  <c r="C32" i="5" s="1"/>
  <c r="F22" i="79"/>
  <c r="F22" i="82"/>
  <c r="J23" i="84"/>
  <c r="C27" i="5" s="1"/>
  <c r="F23" i="84"/>
  <c r="J19" i="91"/>
  <c r="C20" i="5" s="1"/>
  <c r="F19" i="91"/>
  <c r="J22" i="92"/>
  <c r="C19" i="5" s="1"/>
  <c r="J18" i="98"/>
  <c r="C13" i="5" s="1"/>
  <c r="J23" i="99"/>
  <c r="C12" i="5" s="1"/>
  <c r="J21" i="101"/>
  <c r="C10" i="5" s="1"/>
  <c r="F21" i="101"/>
  <c r="J20" i="9"/>
  <c r="C7" i="5" s="1"/>
  <c r="J24" i="88"/>
  <c r="C23" i="5" s="1"/>
  <c r="J24" i="59"/>
  <c r="C52" i="5" s="1"/>
  <c r="J26" i="73"/>
  <c r="C38" i="5" s="1"/>
  <c r="J15" i="46"/>
  <c r="C66" i="5" s="1"/>
  <c r="J25" i="47"/>
  <c r="C65" i="5" s="1"/>
  <c r="J20" i="97"/>
  <c r="C14" i="5" s="1"/>
  <c r="J18" i="96"/>
  <c r="C15" i="5" s="1"/>
  <c r="J23" i="90"/>
  <c r="C21" i="5" s="1"/>
  <c r="J23" i="87"/>
  <c r="C24" i="5" s="1"/>
  <c r="J24" i="85"/>
  <c r="C26" i="5" s="1"/>
  <c r="J22" i="83"/>
  <c r="C28" i="5" s="1"/>
  <c r="J21" i="77"/>
  <c r="C34" i="5" s="1"/>
  <c r="J8" i="76"/>
  <c r="C35" i="5" s="1"/>
  <c r="J23" i="72"/>
  <c r="C39" i="5" s="1"/>
  <c r="C40" i="5"/>
  <c r="J18" i="70"/>
  <c r="C41" i="5" s="1"/>
  <c r="J23" i="68"/>
  <c r="C43" i="5" s="1"/>
  <c r="J18" i="65"/>
  <c r="C46" i="5" s="1"/>
  <c r="J24" i="58"/>
  <c r="C53" i="5" s="1"/>
  <c r="J18" i="56"/>
  <c r="C56" i="5" s="1"/>
  <c r="J8" i="55"/>
  <c r="C57" i="5" s="1"/>
  <c r="J8" i="51"/>
  <c r="C61" i="5" s="1"/>
  <c r="J23" i="50"/>
  <c r="C62" i="5" s="1"/>
  <c r="J21" i="53"/>
  <c r="C59" i="5" s="1"/>
  <c r="J29" i="75"/>
  <c r="C36" i="5" s="1"/>
  <c r="J19" i="18"/>
  <c r="C94" i="5" s="1"/>
  <c r="J22" i="12"/>
  <c r="C101" i="5" s="1"/>
  <c r="J25" i="74"/>
  <c r="C37" i="5" s="1"/>
  <c r="J21" i="40"/>
  <c r="C72" i="5" s="1"/>
  <c r="J8" i="39"/>
  <c r="C74" i="5" s="1"/>
  <c r="J22" i="37"/>
  <c r="C75" i="5" s="1"/>
  <c r="J25" i="33"/>
  <c r="C79" i="5" s="1"/>
  <c r="J22" i="30"/>
  <c r="C82" i="5" s="1"/>
  <c r="J21" i="25"/>
  <c r="C87" i="5" s="1"/>
  <c r="J22" i="22"/>
  <c r="C90" i="5" s="1"/>
  <c r="J25" i="21"/>
  <c r="C91" i="5" s="1"/>
  <c r="J19" i="19"/>
  <c r="C93" i="5" s="1"/>
  <c r="J23" i="28"/>
  <c r="C84" i="5" s="1"/>
  <c r="J22" i="52"/>
  <c r="C60" i="5" s="1"/>
  <c r="J26" i="15"/>
  <c r="C98" i="5" s="1"/>
  <c r="J20" i="43"/>
  <c r="C69" i="5" s="1"/>
  <c r="J25" i="48"/>
  <c r="C64" i="5" s="1"/>
  <c r="J21" i="78"/>
  <c r="C33" i="5" s="1"/>
  <c r="J23" i="32"/>
  <c r="C80" i="5" s="1"/>
  <c r="J23" i="60"/>
  <c r="C51" i="5" s="1"/>
  <c r="J17" i="41"/>
  <c r="C71" i="5" s="1"/>
  <c r="AG104" i="104"/>
  <c r="AO104" i="104"/>
  <c r="N39" i="104"/>
  <c r="AL104" i="104"/>
  <c r="N95" i="104"/>
  <c r="AK104" i="104"/>
  <c r="O90" i="104"/>
  <c r="N21" i="104"/>
  <c r="AP104" i="104"/>
  <c r="AM104" i="104"/>
  <c r="AN105" i="104" s="1"/>
  <c r="J18" i="80"/>
  <c r="C31" i="5" s="1"/>
  <c r="J20" i="42"/>
  <c r="C70" i="5" s="1"/>
  <c r="J13" i="106"/>
  <c r="C54" i="5" s="1"/>
  <c r="J25" i="66"/>
  <c r="C45" i="5" s="1"/>
  <c r="J23" i="10"/>
  <c r="C8" i="5" s="1"/>
  <c r="O77" i="104"/>
  <c r="J21" i="69"/>
  <c r="C42" i="5" s="1"/>
  <c r="J25" i="93"/>
  <c r="C18" i="5" s="1"/>
  <c r="BB105" i="104"/>
  <c r="AZ105" i="104"/>
  <c r="AH104" i="104"/>
  <c r="AX105" i="104"/>
  <c r="AV105" i="104"/>
  <c r="J23" i="13"/>
  <c r="C100" i="5" s="1"/>
  <c r="AT105" i="104"/>
  <c r="J30" i="102"/>
  <c r="C9" i="5" s="1"/>
  <c r="J10" i="61"/>
  <c r="C50" i="5" s="1"/>
  <c r="J31" i="36"/>
  <c r="C76" i="5" s="1"/>
  <c r="J18" i="27"/>
  <c r="C85" i="5" s="1"/>
  <c r="J28" i="23"/>
  <c r="C89" i="5" s="1"/>
  <c r="J24" i="49"/>
  <c r="C63" i="5" s="1"/>
  <c r="J22" i="54"/>
  <c r="C58" i="5" s="1"/>
  <c r="J22" i="86"/>
  <c r="C25" i="5" s="1"/>
  <c r="AJ104" i="104"/>
  <c r="O51" i="104"/>
  <c r="O71" i="104"/>
  <c r="J20" i="16"/>
  <c r="C97" i="5" s="1"/>
  <c r="J29" i="17"/>
  <c r="C95" i="5" s="1"/>
  <c r="J20" i="7"/>
  <c r="C5" i="5" s="1"/>
  <c r="AF104" i="104"/>
  <c r="AF105" i="104" s="1"/>
  <c r="J18" i="8"/>
  <c r="C6" i="5" s="1"/>
  <c r="D4" i="64"/>
  <c r="F4" i="64" s="1"/>
  <c r="AQ104" i="104"/>
  <c r="O96" i="104"/>
  <c r="O98" i="104"/>
  <c r="D104" i="104"/>
  <c r="B10" i="107" s="1"/>
  <c r="J16" i="64" l="1"/>
  <c r="C47" i="5" s="1"/>
  <c r="F16" i="64"/>
  <c r="J22" i="82"/>
  <c r="C29" i="5" s="1"/>
  <c r="AP105" i="104"/>
  <c r="AL105" i="104"/>
  <c r="AH105" i="104"/>
  <c r="AJ105" i="104"/>
  <c r="N48" i="104"/>
  <c r="N104" i="104" s="1"/>
  <c r="D4" i="53"/>
  <c r="O48" i="104"/>
  <c r="AR104" i="104"/>
  <c r="AR105" i="104" s="1"/>
  <c r="C103" i="5" l="1"/>
  <c r="J104" i="104"/>
  <c r="O104" i="104"/>
  <c r="D10" i="107" s="1"/>
  <c r="I10" i="107" l="1"/>
  <c r="E10" i="107"/>
  <c r="H10" i="107" s="1"/>
  <c r="T7" i="104"/>
  <c r="U7" i="104" s="1"/>
  <c r="W7" i="104" s="1"/>
  <c r="T6" i="104"/>
  <c r="U6" i="104" s="1"/>
  <c r="W6" i="104" s="1"/>
  <c r="X6" i="104" l="1"/>
  <c r="Y6" i="104" s="1"/>
  <c r="V6" i="104"/>
  <c r="X7" i="104"/>
  <c r="Y7" i="104" s="1"/>
  <c r="V7" i="104"/>
  <c r="T8" i="104"/>
  <c r="U8" i="104" s="1"/>
  <c r="W8" i="104" s="1"/>
  <c r="T9" i="104"/>
  <c r="U9" i="104" s="1"/>
  <c r="W9" i="104" s="1"/>
  <c r="T10" i="104"/>
  <c r="U10" i="104" s="1"/>
  <c r="W10" i="104" s="1"/>
  <c r="T11" i="104"/>
  <c r="U11" i="104" s="1"/>
  <c r="W11" i="104" s="1"/>
  <c r="T12" i="104"/>
  <c r="U12" i="104" s="1"/>
  <c r="W12" i="104" s="1"/>
  <c r="T13" i="104"/>
  <c r="U13" i="104" s="1"/>
  <c r="W13" i="104" s="1"/>
  <c r="T14" i="104"/>
  <c r="U14" i="104" s="1"/>
  <c r="W14" i="104" s="1"/>
  <c r="T15" i="104"/>
  <c r="U15" i="104" s="1"/>
  <c r="W15" i="104" s="1"/>
  <c r="T16" i="104"/>
  <c r="U16" i="104" s="1"/>
  <c r="W16" i="104" s="1"/>
  <c r="T17" i="104"/>
  <c r="U17" i="104" s="1"/>
  <c r="W17" i="104" s="1"/>
  <c r="T18" i="104"/>
  <c r="U18" i="104" s="1"/>
  <c r="W18" i="104" s="1"/>
  <c r="T19" i="104"/>
  <c r="U19" i="104" s="1"/>
  <c r="W19" i="104" s="1"/>
  <c r="T20" i="104"/>
  <c r="U20" i="104" s="1"/>
  <c r="W20" i="104" s="1"/>
  <c r="T21" i="104"/>
  <c r="U21" i="104" s="1"/>
  <c r="W21" i="104" s="1"/>
  <c r="T22" i="104"/>
  <c r="U22" i="104" s="1"/>
  <c r="W22" i="104" s="1"/>
  <c r="T23" i="104"/>
  <c r="U23" i="104" s="1"/>
  <c r="W23" i="104" s="1"/>
  <c r="T24" i="104"/>
  <c r="U24" i="104" s="1"/>
  <c r="W24" i="104" s="1"/>
  <c r="T25" i="104"/>
  <c r="U25" i="104" s="1"/>
  <c r="W25" i="104" s="1"/>
  <c r="T26" i="104"/>
  <c r="U26" i="104" s="1"/>
  <c r="W26" i="104" s="1"/>
  <c r="T27" i="104"/>
  <c r="U27" i="104" s="1"/>
  <c r="W27" i="104" s="1"/>
  <c r="T28" i="104"/>
  <c r="U28" i="104" s="1"/>
  <c r="W28" i="104" s="1"/>
  <c r="T29" i="104"/>
  <c r="U29" i="104" s="1"/>
  <c r="W29" i="104" s="1"/>
  <c r="T30" i="104"/>
  <c r="U30" i="104" s="1"/>
  <c r="W30" i="104" s="1"/>
  <c r="T31" i="104"/>
  <c r="U31" i="104" s="1"/>
  <c r="W31" i="104" s="1"/>
  <c r="T32" i="104"/>
  <c r="U32" i="104" s="1"/>
  <c r="W32" i="104" s="1"/>
  <c r="T33" i="104"/>
  <c r="U33" i="104" s="1"/>
  <c r="W33" i="104" s="1"/>
  <c r="T34" i="104"/>
  <c r="U34" i="104" s="1"/>
  <c r="W34" i="104" s="1"/>
  <c r="T35" i="104"/>
  <c r="U35" i="104" s="1"/>
  <c r="W35" i="104" s="1"/>
  <c r="T36" i="104"/>
  <c r="U36" i="104" s="1"/>
  <c r="W36" i="104" s="1"/>
  <c r="T37" i="104"/>
  <c r="U37" i="104" s="1"/>
  <c r="W37" i="104" s="1"/>
  <c r="T38" i="104"/>
  <c r="U38" i="104" s="1"/>
  <c r="W38" i="104" s="1"/>
  <c r="T39" i="104"/>
  <c r="U39" i="104" s="1"/>
  <c r="W39" i="104" s="1"/>
  <c r="T40" i="104"/>
  <c r="U40" i="104" s="1"/>
  <c r="W40" i="104" s="1"/>
  <c r="T41" i="104"/>
  <c r="U41" i="104" s="1"/>
  <c r="W41" i="104" s="1"/>
  <c r="T42" i="104"/>
  <c r="U42" i="104" s="1"/>
  <c r="W42" i="104" s="1"/>
  <c r="T43" i="104"/>
  <c r="U43" i="104" s="1"/>
  <c r="W43" i="104" s="1"/>
  <c r="T44" i="104"/>
  <c r="U44" i="104" s="1"/>
  <c r="W44" i="104" s="1"/>
  <c r="T45" i="104"/>
  <c r="U45" i="104" s="1"/>
  <c r="W45" i="104" s="1"/>
  <c r="T46" i="104"/>
  <c r="U46" i="104" s="1"/>
  <c r="W46" i="104" s="1"/>
  <c r="T47" i="104"/>
  <c r="U47" i="104" s="1"/>
  <c r="W47" i="104" s="1"/>
  <c r="T48" i="104"/>
  <c r="U48" i="104" s="1"/>
  <c r="W48" i="104" s="1"/>
  <c r="T49" i="104"/>
  <c r="U49" i="104" s="1"/>
  <c r="W49" i="104" s="1"/>
  <c r="T50" i="104"/>
  <c r="U50" i="104" s="1"/>
  <c r="W50" i="104" s="1"/>
  <c r="T51" i="104"/>
  <c r="U51" i="104" s="1"/>
  <c r="W51" i="104" s="1"/>
  <c r="T52" i="104"/>
  <c r="U52" i="104" s="1"/>
  <c r="W52" i="104" s="1"/>
  <c r="T53" i="104"/>
  <c r="U53" i="104" s="1"/>
  <c r="W53" i="104" s="1"/>
  <c r="T54" i="104"/>
  <c r="U54" i="104" s="1"/>
  <c r="W54" i="104" s="1"/>
  <c r="T55" i="104"/>
  <c r="U55" i="104" s="1"/>
  <c r="W55" i="104" s="1"/>
  <c r="T56" i="104"/>
  <c r="U56" i="104" s="1"/>
  <c r="W56" i="104" s="1"/>
  <c r="T57" i="104"/>
  <c r="U57" i="104" s="1"/>
  <c r="W57" i="104" s="1"/>
  <c r="T58" i="104"/>
  <c r="U58" i="104" s="1"/>
  <c r="W58" i="104" s="1"/>
  <c r="T59" i="104"/>
  <c r="U59" i="104" s="1"/>
  <c r="W59" i="104" s="1"/>
  <c r="T60" i="104"/>
  <c r="U60" i="104" s="1"/>
  <c r="W60" i="104" s="1"/>
  <c r="T61" i="104"/>
  <c r="U61" i="104" s="1"/>
  <c r="W61" i="104" s="1"/>
  <c r="T62" i="104"/>
  <c r="U62" i="104" s="1"/>
  <c r="W62" i="104" s="1"/>
  <c r="T63" i="104"/>
  <c r="U63" i="104" s="1"/>
  <c r="W63" i="104" s="1"/>
  <c r="T64" i="104"/>
  <c r="U64" i="104" s="1"/>
  <c r="W64" i="104" s="1"/>
  <c r="T65" i="104"/>
  <c r="U65" i="104" s="1"/>
  <c r="W65" i="104" s="1"/>
  <c r="T66" i="104"/>
  <c r="U66" i="104" s="1"/>
  <c r="W66" i="104" s="1"/>
  <c r="T67" i="104"/>
  <c r="U67" i="104" s="1"/>
  <c r="W67" i="104" s="1"/>
  <c r="T68" i="104"/>
  <c r="U68" i="104" s="1"/>
  <c r="W68" i="104" s="1"/>
  <c r="T69" i="104"/>
  <c r="U69" i="104" s="1"/>
  <c r="W69" i="104" s="1"/>
  <c r="T70" i="104"/>
  <c r="U70" i="104" s="1"/>
  <c r="W70" i="104" s="1"/>
  <c r="T71" i="104"/>
  <c r="U71" i="104" s="1"/>
  <c r="W71" i="104" s="1"/>
  <c r="T72" i="104"/>
  <c r="U72" i="104" s="1"/>
  <c r="W72" i="104" s="1"/>
  <c r="T73" i="104"/>
  <c r="U73" i="104" s="1"/>
  <c r="W73" i="104" s="1"/>
  <c r="T74" i="104"/>
  <c r="U74" i="104" s="1"/>
  <c r="W74" i="104" s="1"/>
  <c r="T75" i="104"/>
  <c r="U75" i="104" s="1"/>
  <c r="W75" i="104" s="1"/>
  <c r="T76" i="104"/>
  <c r="U76" i="104" s="1"/>
  <c r="W76" i="104" s="1"/>
  <c r="T77" i="104"/>
  <c r="U77" i="104" s="1"/>
  <c r="W77" i="104" s="1"/>
  <c r="T78" i="104"/>
  <c r="U78" i="104" s="1"/>
  <c r="W78" i="104" s="1"/>
  <c r="T79" i="104"/>
  <c r="U79" i="104" s="1"/>
  <c r="W79" i="104" s="1"/>
  <c r="T80" i="104"/>
  <c r="U80" i="104" s="1"/>
  <c r="W80" i="104" s="1"/>
  <c r="T81" i="104"/>
  <c r="U81" i="104" s="1"/>
  <c r="W81" i="104" s="1"/>
  <c r="T82" i="104"/>
  <c r="U82" i="104" s="1"/>
  <c r="W82" i="104" s="1"/>
  <c r="T83" i="104"/>
  <c r="U83" i="104" s="1"/>
  <c r="W83" i="104" s="1"/>
  <c r="T84" i="104"/>
  <c r="U84" i="104" s="1"/>
  <c r="W84" i="104" s="1"/>
  <c r="T85" i="104"/>
  <c r="U85" i="104" s="1"/>
  <c r="W85" i="104" s="1"/>
  <c r="T86" i="104"/>
  <c r="U86" i="104" s="1"/>
  <c r="W86" i="104" s="1"/>
  <c r="T87" i="104"/>
  <c r="U87" i="104" s="1"/>
  <c r="W87" i="104" s="1"/>
  <c r="T88" i="104"/>
  <c r="U88" i="104" s="1"/>
  <c r="W88" i="104" s="1"/>
  <c r="T89" i="104"/>
  <c r="U89" i="104" s="1"/>
  <c r="W89" i="104" s="1"/>
  <c r="T90" i="104"/>
  <c r="U90" i="104" s="1"/>
  <c r="W90" i="104" s="1"/>
  <c r="T91" i="104"/>
  <c r="U91" i="104" s="1"/>
  <c r="W91" i="104" s="1"/>
  <c r="T92" i="104"/>
  <c r="U92" i="104" s="1"/>
  <c r="W92" i="104" s="1"/>
  <c r="T93" i="104"/>
  <c r="U93" i="104" s="1"/>
  <c r="W93" i="104" s="1"/>
  <c r="T94" i="104"/>
  <c r="U94" i="104" s="1"/>
  <c r="W94" i="104" s="1"/>
  <c r="T95" i="104"/>
  <c r="U95" i="104" s="1"/>
  <c r="W95" i="104" s="1"/>
  <c r="T96" i="104"/>
  <c r="U96" i="104" s="1"/>
  <c r="W96" i="104" s="1"/>
  <c r="T97" i="104"/>
  <c r="U97" i="104" s="1"/>
  <c r="W97" i="104" s="1"/>
  <c r="T98" i="104"/>
  <c r="U98" i="104" s="1"/>
  <c r="W98" i="104" s="1"/>
  <c r="T99" i="104"/>
  <c r="U99" i="104" s="1"/>
  <c r="W99" i="104" s="1"/>
  <c r="T100" i="104"/>
  <c r="U100" i="104" s="1"/>
  <c r="W100" i="104" s="1"/>
  <c r="T101" i="104"/>
  <c r="U101" i="104" s="1"/>
  <c r="W101" i="104" s="1"/>
  <c r="T102" i="104"/>
  <c r="U102" i="104" s="1"/>
  <c r="W102" i="104" s="1"/>
  <c r="T103" i="104"/>
  <c r="U103" i="104" s="1"/>
  <c r="W103" i="104" s="1"/>
  <c r="X72" i="104" l="1"/>
  <c r="X99" i="104"/>
  <c r="Y99" i="104" s="1"/>
  <c r="V99" i="104"/>
  <c r="X51" i="104"/>
  <c r="Y51" i="104" s="1"/>
  <c r="V51" i="104"/>
  <c r="V98" i="104"/>
  <c r="X98" i="104"/>
  <c r="Y98" i="104" s="1"/>
  <c r="V66" i="104"/>
  <c r="X66" i="104"/>
  <c r="Y66" i="104" s="1"/>
  <c r="V58" i="104"/>
  <c r="X58" i="104"/>
  <c r="Y58" i="104" s="1"/>
  <c r="V50" i="104"/>
  <c r="X50" i="104"/>
  <c r="Y50" i="104" s="1"/>
  <c r="V42" i="104"/>
  <c r="X42" i="104"/>
  <c r="Y42" i="104" s="1"/>
  <c r="V34" i="104"/>
  <c r="X34" i="104"/>
  <c r="Y34" i="104" s="1"/>
  <c r="V26" i="104"/>
  <c r="X26" i="104"/>
  <c r="Y26" i="104" s="1"/>
  <c r="V18" i="104"/>
  <c r="X18" i="104"/>
  <c r="Y18" i="104" s="1"/>
  <c r="V10" i="104"/>
  <c r="X10" i="104"/>
  <c r="Y10" i="104" s="1"/>
  <c r="X67" i="104"/>
  <c r="Y67" i="104" s="1"/>
  <c r="V67" i="104"/>
  <c r="V81" i="104"/>
  <c r="X81" i="104"/>
  <c r="Y81" i="104" s="1"/>
  <c r="V57" i="104"/>
  <c r="X57" i="104"/>
  <c r="Y57" i="104" s="1"/>
  <c r="V49" i="104"/>
  <c r="X49" i="104"/>
  <c r="Y49" i="104" s="1"/>
  <c r="V41" i="104"/>
  <c r="X41" i="104"/>
  <c r="Y41" i="104" s="1"/>
  <c r="V33" i="104"/>
  <c r="X33" i="104"/>
  <c r="Y33" i="104" s="1"/>
  <c r="V25" i="104"/>
  <c r="X25" i="104"/>
  <c r="Y25" i="104" s="1"/>
  <c r="V17" i="104"/>
  <c r="X17" i="104"/>
  <c r="Y17" i="104" s="1"/>
  <c r="V9" i="104"/>
  <c r="X9" i="104"/>
  <c r="Y9" i="104" s="1"/>
  <c r="X83" i="104"/>
  <c r="Y83" i="104" s="1"/>
  <c r="V83" i="104"/>
  <c r="X27" i="104"/>
  <c r="Y27" i="104" s="1"/>
  <c r="V27" i="104"/>
  <c r="V82" i="104"/>
  <c r="X82" i="104"/>
  <c r="Y82" i="104" s="1"/>
  <c r="V96" i="104"/>
  <c r="X96" i="104"/>
  <c r="Y96" i="104" s="1"/>
  <c r="V64" i="104"/>
  <c r="X64" i="104"/>
  <c r="Y64" i="104" s="1"/>
  <c r="V56" i="104"/>
  <c r="X56" i="104"/>
  <c r="Y56" i="104" s="1"/>
  <c r="V48" i="104"/>
  <c r="X48" i="104"/>
  <c r="Y48" i="104" s="1"/>
  <c r="V40" i="104"/>
  <c r="X40" i="104"/>
  <c r="Y40" i="104" s="1"/>
  <c r="V32" i="104"/>
  <c r="X32" i="104"/>
  <c r="Y32" i="104" s="1"/>
  <c r="V24" i="104"/>
  <c r="X24" i="104"/>
  <c r="Y24" i="104" s="1"/>
  <c r="V16" i="104"/>
  <c r="X16" i="104"/>
  <c r="Y16" i="104" s="1"/>
  <c r="V8" i="104"/>
  <c r="X8" i="104"/>
  <c r="Y8" i="104" s="1"/>
  <c r="X11" i="104"/>
  <c r="Y11" i="104" s="1"/>
  <c r="V11" i="104"/>
  <c r="V97" i="104"/>
  <c r="X97" i="104"/>
  <c r="Y97" i="104" s="1"/>
  <c r="V80" i="104"/>
  <c r="X80" i="104"/>
  <c r="Y80" i="104" s="1"/>
  <c r="X87" i="104"/>
  <c r="Y87" i="104" s="1"/>
  <c r="V87" i="104"/>
  <c r="X71" i="104"/>
  <c r="Y71" i="104" s="1"/>
  <c r="V71" i="104"/>
  <c r="X63" i="104"/>
  <c r="Y63" i="104" s="1"/>
  <c r="V63" i="104"/>
  <c r="X55" i="104"/>
  <c r="Y55" i="104" s="1"/>
  <c r="V55" i="104"/>
  <c r="X47" i="104"/>
  <c r="Y47" i="104" s="1"/>
  <c r="V47" i="104"/>
  <c r="X39" i="104"/>
  <c r="Y39" i="104" s="1"/>
  <c r="V39" i="104"/>
  <c r="X31" i="104"/>
  <c r="Y31" i="104" s="1"/>
  <c r="V31" i="104"/>
  <c r="X23" i="104"/>
  <c r="Y23" i="104" s="1"/>
  <c r="V23" i="104"/>
  <c r="X15" i="104"/>
  <c r="Y15" i="104" s="1"/>
  <c r="V15" i="104"/>
  <c r="X91" i="104"/>
  <c r="Y91" i="104" s="1"/>
  <c r="V91" i="104"/>
  <c r="X43" i="104"/>
  <c r="Y43" i="104" s="1"/>
  <c r="V43" i="104"/>
  <c r="V74" i="104"/>
  <c r="X74" i="104"/>
  <c r="Y74" i="104" s="1"/>
  <c r="V88" i="104"/>
  <c r="X88" i="104"/>
  <c r="Y88" i="104" s="1"/>
  <c r="X95" i="104"/>
  <c r="Y95" i="104" s="1"/>
  <c r="V95" i="104"/>
  <c r="X102" i="104"/>
  <c r="Y102" i="104" s="1"/>
  <c r="V102" i="104"/>
  <c r="X86" i="104"/>
  <c r="Y86" i="104" s="1"/>
  <c r="V86" i="104"/>
  <c r="X78" i="104"/>
  <c r="Y78" i="104" s="1"/>
  <c r="V78" i="104"/>
  <c r="X70" i="104"/>
  <c r="Y70" i="104" s="1"/>
  <c r="V70" i="104"/>
  <c r="X62" i="104"/>
  <c r="Y62" i="104" s="1"/>
  <c r="V62" i="104"/>
  <c r="X54" i="104"/>
  <c r="Y54" i="104" s="1"/>
  <c r="V54" i="104"/>
  <c r="X46" i="104"/>
  <c r="Y46" i="104" s="1"/>
  <c r="V46" i="104"/>
  <c r="X38" i="104"/>
  <c r="Y38" i="104" s="1"/>
  <c r="V38" i="104"/>
  <c r="X30" i="104"/>
  <c r="Y30" i="104" s="1"/>
  <c r="V30" i="104"/>
  <c r="X22" i="104"/>
  <c r="Y22" i="104" s="1"/>
  <c r="V22" i="104"/>
  <c r="X14" i="104"/>
  <c r="Y14" i="104" s="1"/>
  <c r="V14" i="104"/>
  <c r="X59" i="104"/>
  <c r="Y59" i="104" s="1"/>
  <c r="V59" i="104"/>
  <c r="X19" i="104"/>
  <c r="Y19" i="104" s="1"/>
  <c r="V19" i="104"/>
  <c r="V89" i="104"/>
  <c r="X89" i="104"/>
  <c r="Y89" i="104" s="1"/>
  <c r="V65" i="104"/>
  <c r="X65" i="104"/>
  <c r="Y65" i="104" s="1"/>
  <c r="X103" i="104"/>
  <c r="Y103" i="104" s="1"/>
  <c r="V103" i="104"/>
  <c r="X79" i="104"/>
  <c r="Y79" i="104" s="1"/>
  <c r="V79" i="104"/>
  <c r="X94" i="104"/>
  <c r="Y94" i="104" s="1"/>
  <c r="V94" i="104"/>
  <c r="X101" i="104"/>
  <c r="Y101" i="104" s="1"/>
  <c r="V101" i="104"/>
  <c r="X93" i="104"/>
  <c r="Y93" i="104" s="1"/>
  <c r="V93" i="104"/>
  <c r="X85" i="104"/>
  <c r="Y85" i="104" s="1"/>
  <c r="V85" i="104"/>
  <c r="X77" i="104"/>
  <c r="Y77" i="104" s="1"/>
  <c r="V77" i="104"/>
  <c r="X69" i="104"/>
  <c r="Y69" i="104" s="1"/>
  <c r="V69" i="104"/>
  <c r="X61" i="104"/>
  <c r="Y61" i="104" s="1"/>
  <c r="V61" i="104"/>
  <c r="X53" i="104"/>
  <c r="Y53" i="104" s="1"/>
  <c r="V53" i="104"/>
  <c r="X45" i="104"/>
  <c r="Y45" i="104" s="1"/>
  <c r="V45" i="104"/>
  <c r="X37" i="104"/>
  <c r="Y37" i="104" s="1"/>
  <c r="V37" i="104"/>
  <c r="X29" i="104"/>
  <c r="Y29" i="104" s="1"/>
  <c r="V29" i="104"/>
  <c r="X21" i="104"/>
  <c r="Y21" i="104" s="1"/>
  <c r="V21" i="104"/>
  <c r="X13" i="104"/>
  <c r="Y13" i="104" s="1"/>
  <c r="V13" i="104"/>
  <c r="X75" i="104"/>
  <c r="Y75" i="104" s="1"/>
  <c r="V75" i="104"/>
  <c r="X35" i="104"/>
  <c r="Y35" i="104" s="1"/>
  <c r="V35" i="104"/>
  <c r="V90" i="104"/>
  <c r="X90" i="104"/>
  <c r="Y90" i="104" s="1"/>
  <c r="V73" i="104"/>
  <c r="X73" i="104"/>
  <c r="Y73" i="104" s="1"/>
  <c r="V72" i="104"/>
  <c r="Y72" i="104"/>
  <c r="X100" i="104"/>
  <c r="Y100" i="104" s="1"/>
  <c r="V100" i="104"/>
  <c r="X92" i="104"/>
  <c r="Y92" i="104" s="1"/>
  <c r="V92" i="104"/>
  <c r="X84" i="104"/>
  <c r="Y84" i="104" s="1"/>
  <c r="V84" i="104"/>
  <c r="X76" i="104"/>
  <c r="Y76" i="104" s="1"/>
  <c r="V76" i="104"/>
  <c r="X68" i="104"/>
  <c r="Y68" i="104" s="1"/>
  <c r="V68" i="104"/>
  <c r="X60" i="104"/>
  <c r="Y60" i="104" s="1"/>
  <c r="V60" i="104"/>
  <c r="X52" i="104"/>
  <c r="Y52" i="104" s="1"/>
  <c r="V52" i="104"/>
  <c r="X44" i="104"/>
  <c r="Y44" i="104" s="1"/>
  <c r="V44" i="104"/>
  <c r="X36" i="104"/>
  <c r="Y36" i="104" s="1"/>
  <c r="V36" i="104"/>
  <c r="X28" i="104"/>
  <c r="Y28" i="104" s="1"/>
  <c r="V28" i="104"/>
  <c r="X20" i="104"/>
  <c r="Y20" i="104" s="1"/>
  <c r="V20" i="104"/>
  <c r="X12" i="104"/>
  <c r="Y12" i="104" s="1"/>
  <c r="V12" i="104"/>
  <c r="T104" i="104"/>
  <c r="X104" i="104" l="1"/>
  <c r="Y104" i="104"/>
  <c r="Z16" i="104" l="1"/>
  <c r="AA16" i="104" s="1"/>
  <c r="AD16" i="104" s="1"/>
  <c r="Z5" i="104"/>
  <c r="AA5" i="104" s="1"/>
  <c r="AD5" i="104" s="1"/>
  <c r="Z59" i="104"/>
  <c r="AA59" i="104" s="1"/>
  <c r="AD59" i="104" s="1"/>
  <c r="Z87" i="104"/>
  <c r="AA87" i="104" s="1"/>
  <c r="AD87" i="104" s="1"/>
  <c r="Z15" i="104"/>
  <c r="AA15" i="104" s="1"/>
  <c r="AD15" i="104" s="1"/>
  <c r="Z103" i="104"/>
  <c r="AA103" i="104" s="1"/>
  <c r="AD103" i="104" s="1"/>
  <c r="Z66" i="104"/>
  <c r="AA66" i="104" s="1"/>
  <c r="AD66" i="104" s="1"/>
  <c r="Z71" i="104"/>
  <c r="AA71" i="104" s="1"/>
  <c r="AD71" i="104" s="1"/>
  <c r="Z30" i="104"/>
  <c r="AA30" i="104" s="1"/>
  <c r="AD30" i="104" s="1"/>
  <c r="Z11" i="104"/>
  <c r="AA11" i="104" s="1"/>
  <c r="AD11" i="104" s="1"/>
  <c r="Z47" i="104"/>
  <c r="AA47" i="104" s="1"/>
  <c r="AD47" i="104" s="1"/>
  <c r="Z44" i="104"/>
  <c r="AA44" i="104" s="1"/>
  <c r="AD44" i="104" s="1"/>
  <c r="Z89" i="104"/>
  <c r="AA89" i="104" s="1"/>
  <c r="AD89" i="104" s="1"/>
  <c r="Z19" i="104"/>
  <c r="AA19" i="104" s="1"/>
  <c r="AD19" i="104" s="1"/>
  <c r="Z6" i="104"/>
  <c r="AA6" i="104" s="1"/>
  <c r="AD6" i="104" s="1"/>
  <c r="Z28" i="104"/>
  <c r="AA28" i="104" s="1"/>
  <c r="AD28" i="104" s="1"/>
  <c r="Z18" i="104"/>
  <c r="AA18" i="104" s="1"/>
  <c r="AD18" i="104" s="1"/>
  <c r="Z78" i="104"/>
  <c r="AA78" i="104" s="1"/>
  <c r="AD78" i="104" s="1"/>
  <c r="Z8" i="104"/>
  <c r="AA8" i="104" s="1"/>
  <c r="AD8" i="104" s="1"/>
  <c r="Z36" i="104"/>
  <c r="AA36" i="104" s="1"/>
  <c r="AD36" i="104" s="1"/>
  <c r="Z22" i="104"/>
  <c r="AA22" i="104" s="1"/>
  <c r="AD22" i="104" s="1"/>
  <c r="Z37" i="104"/>
  <c r="AA37" i="104" s="1"/>
  <c r="AD37" i="104" s="1"/>
  <c r="Z88" i="104"/>
  <c r="AA88" i="104" s="1"/>
  <c r="AD88" i="104" s="1"/>
  <c r="Z56" i="104"/>
  <c r="AA56" i="104" s="1"/>
  <c r="AD56" i="104" s="1"/>
  <c r="Z94" i="104"/>
  <c r="AA94" i="104" s="1"/>
  <c r="AD94" i="104" s="1"/>
  <c r="Z75" i="104"/>
  <c r="AA75" i="104" s="1"/>
  <c r="AD75" i="104" s="1"/>
  <c r="Z65" i="104"/>
  <c r="AA65" i="104" s="1"/>
  <c r="AD65" i="104" s="1"/>
  <c r="Z57" i="104"/>
  <c r="AA57" i="104" s="1"/>
  <c r="AD57" i="104" s="1"/>
  <c r="Z98" i="104"/>
  <c r="AA98" i="104" s="1"/>
  <c r="AD98" i="104" s="1"/>
  <c r="Z76" i="104"/>
  <c r="AA76" i="104" s="1"/>
  <c r="AD76" i="104" s="1"/>
  <c r="Z83" i="104"/>
  <c r="AA83" i="104" s="1"/>
  <c r="AD83" i="104" s="1"/>
  <c r="Z51" i="104"/>
  <c r="AA51" i="104" s="1"/>
  <c r="AD51" i="104" s="1"/>
  <c r="Z42" i="104"/>
  <c r="AA42" i="104" s="1"/>
  <c r="AD42" i="104" s="1"/>
  <c r="Z93" i="104"/>
  <c r="AA93" i="104" s="1"/>
  <c r="AD93" i="104" s="1"/>
  <c r="Z58" i="104"/>
  <c r="AA58" i="104" s="1"/>
  <c r="AD58" i="104" s="1"/>
  <c r="Z27" i="104"/>
  <c r="AA27" i="104" s="1"/>
  <c r="AD27" i="104" s="1"/>
  <c r="Z79" i="104"/>
  <c r="AA79" i="104" s="1"/>
  <c r="AD79" i="104" s="1"/>
  <c r="Z24" i="104"/>
  <c r="AA24" i="104" s="1"/>
  <c r="AD24" i="104" s="1"/>
  <c r="Z77" i="104"/>
  <c r="AA77" i="104" s="1"/>
  <c r="AD77" i="104" s="1"/>
  <c r="Z10" i="104"/>
  <c r="AA10" i="104" s="1"/>
  <c r="AD10" i="104" s="1"/>
  <c r="Z72" i="104"/>
  <c r="AA72" i="104" s="1"/>
  <c r="AD72" i="104" s="1"/>
  <c r="Z39" i="104"/>
  <c r="AA39" i="104" s="1"/>
  <c r="AD39" i="104" s="1"/>
  <c r="Z61" i="104"/>
  <c r="AA61" i="104" s="1"/>
  <c r="AD61" i="104" s="1"/>
  <c r="Z26" i="104"/>
  <c r="AA26" i="104" s="1"/>
  <c r="AD26" i="104" s="1"/>
  <c r="Z63" i="104"/>
  <c r="AA63" i="104" s="1"/>
  <c r="AD63" i="104" s="1"/>
  <c r="Z85" i="104"/>
  <c r="AA85" i="104" s="1"/>
  <c r="AD85" i="104" s="1"/>
  <c r="Z82" i="104"/>
  <c r="AA82" i="104" s="1"/>
  <c r="AD82" i="104" s="1"/>
  <c r="Z45" i="104"/>
  <c r="AA45" i="104" s="1"/>
  <c r="AD45" i="104" s="1"/>
  <c r="Z49" i="104"/>
  <c r="AA49" i="104" s="1"/>
  <c r="AD49" i="104" s="1"/>
  <c r="Z12" i="104"/>
  <c r="AA12" i="104" s="1"/>
  <c r="AD12" i="104" s="1"/>
  <c r="Z91" i="104"/>
  <c r="AA91" i="104" s="1"/>
  <c r="AD91" i="104" s="1"/>
  <c r="Z29" i="104"/>
  <c r="AA29" i="104" s="1"/>
  <c r="AD29" i="104" s="1"/>
  <c r="Z81" i="104"/>
  <c r="AA81" i="104" s="1"/>
  <c r="AD81" i="104" s="1"/>
  <c r="Z31" i="104"/>
  <c r="AA31" i="104" s="1"/>
  <c r="AD31" i="104" s="1"/>
  <c r="Z53" i="104"/>
  <c r="AA53" i="104" s="1"/>
  <c r="AD53" i="104" s="1"/>
  <c r="Z55" i="104"/>
  <c r="AA55" i="104" s="1"/>
  <c r="AD55" i="104" s="1"/>
  <c r="Z13" i="104"/>
  <c r="AA13" i="104" s="1"/>
  <c r="AD13" i="104" s="1"/>
  <c r="Z17" i="104"/>
  <c r="AA17" i="104" s="1"/>
  <c r="AD17" i="104" s="1"/>
  <c r="Z34" i="104"/>
  <c r="AA34" i="104" s="1"/>
  <c r="AD34" i="104" s="1"/>
  <c r="Z46" i="104"/>
  <c r="AA46" i="104" s="1"/>
  <c r="AD46" i="104" s="1"/>
  <c r="Z25" i="104"/>
  <c r="AA25" i="104" s="1"/>
  <c r="AD25" i="104" s="1"/>
  <c r="Z14" i="104"/>
  <c r="AA14" i="104" s="1"/>
  <c r="AD14" i="104" s="1"/>
  <c r="Z9" i="104"/>
  <c r="AA9" i="104" s="1"/>
  <c r="AD9" i="104" s="1"/>
  <c r="Z95" i="104"/>
  <c r="AA95" i="104" s="1"/>
  <c r="AD95" i="104" s="1"/>
  <c r="Z35" i="104"/>
  <c r="AA35" i="104" s="1"/>
  <c r="AD35" i="104" s="1"/>
  <c r="Z33" i="104"/>
  <c r="AA33" i="104" s="1"/>
  <c r="AD33" i="104" s="1"/>
  <c r="Z43" i="104"/>
  <c r="AA43" i="104" s="1"/>
  <c r="AD43" i="104" s="1"/>
  <c r="Z21" i="104"/>
  <c r="AA21" i="104" s="1"/>
  <c r="AD21" i="104" s="1"/>
  <c r="Z23" i="104"/>
  <c r="AA23" i="104" s="1"/>
  <c r="AD23" i="104" s="1"/>
  <c r="Z84" i="104"/>
  <c r="AA84" i="104" s="1"/>
  <c r="AD84" i="104" s="1"/>
  <c r="Z7" i="104"/>
  <c r="AA7" i="104" s="1"/>
  <c r="AD7" i="104" s="1"/>
  <c r="Z50" i="104"/>
  <c r="AA50" i="104" s="1"/>
  <c r="AD50" i="104" s="1"/>
  <c r="Z90" i="104"/>
  <c r="AA90" i="104" s="1"/>
  <c r="AD90" i="104" s="1"/>
  <c r="Z101" i="104"/>
  <c r="AA101" i="104" s="1"/>
  <c r="AD101" i="104" s="1"/>
  <c r="Z96" i="104"/>
  <c r="AA96" i="104" s="1"/>
  <c r="AD96" i="104" s="1"/>
  <c r="Z80" i="104"/>
  <c r="AA80" i="104" s="1"/>
  <c r="AD80" i="104" s="1"/>
  <c r="Z70" i="104"/>
  <c r="AA70" i="104" s="1"/>
  <c r="AD70" i="104" s="1"/>
  <c r="Z100" i="104"/>
  <c r="AA100" i="104" s="1"/>
  <c r="AD100" i="104" s="1"/>
  <c r="Z64" i="104"/>
  <c r="AA64" i="104" s="1"/>
  <c r="AD64" i="104" s="1"/>
  <c r="Z102" i="104"/>
  <c r="AA102" i="104" s="1"/>
  <c r="AD102" i="104" s="1"/>
  <c r="Z92" i="104"/>
  <c r="AA92" i="104" s="1"/>
  <c r="AD92" i="104" s="1"/>
  <c r="Z86" i="104"/>
  <c r="AA86" i="104" s="1"/>
  <c r="AD86" i="104" s="1"/>
  <c r="Z52" i="104"/>
  <c r="AA52" i="104" s="1"/>
  <c r="AD52" i="104" s="1"/>
  <c r="Z74" i="104"/>
  <c r="AA74" i="104" s="1"/>
  <c r="AD74" i="104" s="1"/>
  <c r="Z41" i="104"/>
  <c r="AA41" i="104" s="1"/>
  <c r="AD41" i="104" s="1"/>
  <c r="Z97" i="104"/>
  <c r="AA97" i="104" s="1"/>
  <c r="AD97" i="104" s="1"/>
  <c r="Z67" i="104"/>
  <c r="AA67" i="104" s="1"/>
  <c r="AD67" i="104" s="1"/>
  <c r="Z69" i="104"/>
  <c r="AA69" i="104" s="1"/>
  <c r="AD69" i="104" s="1"/>
  <c r="Z48" i="104"/>
  <c r="AA48" i="104" s="1"/>
  <c r="AD48" i="104" s="1"/>
  <c r="Z40" i="104"/>
  <c r="AA40" i="104" s="1"/>
  <c r="AD40" i="104" s="1"/>
  <c r="Z99" i="104"/>
  <c r="AA99" i="104" s="1"/>
  <c r="AD99" i="104" s="1"/>
  <c r="Z38" i="104"/>
  <c r="AA38" i="104" s="1"/>
  <c r="AD38" i="104" s="1"/>
  <c r="Z68" i="104"/>
  <c r="AA68" i="104" s="1"/>
  <c r="AD68" i="104" s="1"/>
  <c r="Z32" i="104"/>
  <c r="AA32" i="104" s="1"/>
  <c r="AD32" i="104" s="1"/>
  <c r="Z62" i="104"/>
  <c r="AA62" i="104" s="1"/>
  <c r="AD62" i="104" s="1"/>
  <c r="Z60" i="104"/>
  <c r="AA60" i="104" s="1"/>
  <c r="AD60" i="104" s="1"/>
  <c r="Z54" i="104"/>
  <c r="AA54" i="104" s="1"/>
  <c r="AD54" i="104" s="1"/>
  <c r="Z20" i="104"/>
  <c r="AA20" i="104" s="1"/>
  <c r="AD20" i="104" s="1"/>
  <c r="Z73" i="104"/>
  <c r="AA73" i="104" s="1"/>
  <c r="AD73" i="104" s="1"/>
  <c r="L104" i="104"/>
  <c r="AA104" i="104" l="1"/>
  <c r="Z104" i="104"/>
  <c r="U104" i="104"/>
  <c r="AD104" i="104" l="1"/>
</calcChain>
</file>

<file path=xl/sharedStrings.xml><?xml version="1.0" encoding="utf-8"?>
<sst xmlns="http://schemas.openxmlformats.org/spreadsheetml/2006/main" count="2759" uniqueCount="912">
  <si>
    <t>County</t>
  </si>
  <si>
    <t>Co #</t>
  </si>
  <si>
    <t>ADAIR</t>
  </si>
  <si>
    <t>ADAMS</t>
  </si>
  <si>
    <t>ALLAMAKEE</t>
  </si>
  <si>
    <t>APPANOOSE</t>
  </si>
  <si>
    <t>AUDUBON</t>
  </si>
  <si>
    <t>BENTON</t>
  </si>
  <si>
    <t>BLACK HAWK</t>
  </si>
  <si>
    <t>BOONE</t>
  </si>
  <si>
    <t>BREMER</t>
  </si>
  <si>
    <t>BUCHANAN</t>
  </si>
  <si>
    <t>BUENA VISTA</t>
  </si>
  <si>
    <t>BUTLER</t>
  </si>
  <si>
    <t>CALHOUN</t>
  </si>
  <si>
    <t>CARROLL</t>
  </si>
  <si>
    <t>CASS</t>
  </si>
  <si>
    <t>CEDAR</t>
  </si>
  <si>
    <t>CERRO GORDO</t>
  </si>
  <si>
    <t>CHEROKEE</t>
  </si>
  <si>
    <t>CHICKASAW</t>
  </si>
  <si>
    <t>CLARKE</t>
  </si>
  <si>
    <t>CLAY</t>
  </si>
  <si>
    <t>CLAYTON</t>
  </si>
  <si>
    <t>CLINTON</t>
  </si>
  <si>
    <t>CRAWFORD</t>
  </si>
  <si>
    <t>DALLAS</t>
  </si>
  <si>
    <t>DAVIS</t>
  </si>
  <si>
    <t>DECATUR</t>
  </si>
  <si>
    <t>DELAWARE</t>
  </si>
  <si>
    <t>DES MOINES</t>
  </si>
  <si>
    <t>DICKINSON</t>
  </si>
  <si>
    <t>DUBUQUE</t>
  </si>
  <si>
    <t>EMMET</t>
  </si>
  <si>
    <t>FAYETTE</t>
  </si>
  <si>
    <t>FLOYD</t>
  </si>
  <si>
    <t>FRANKLIN</t>
  </si>
  <si>
    <t>FREMONT</t>
  </si>
  <si>
    <t>GREENE</t>
  </si>
  <si>
    <t>GRUNDY</t>
  </si>
  <si>
    <t>GUTHRIE</t>
  </si>
  <si>
    <t>HAMILTON</t>
  </si>
  <si>
    <t>HANCOCK</t>
  </si>
  <si>
    <t>HARDIN</t>
  </si>
  <si>
    <t>HARRISON</t>
  </si>
  <si>
    <t>HENRY</t>
  </si>
  <si>
    <t>HOWARD</t>
  </si>
  <si>
    <t>HUMBOLDT</t>
  </si>
  <si>
    <t>IDA</t>
  </si>
  <si>
    <t>IOWA</t>
  </si>
  <si>
    <t>JACKSON</t>
  </si>
  <si>
    <t>JASPER</t>
  </si>
  <si>
    <t>JEFFERSON</t>
  </si>
  <si>
    <t>JOHNSON</t>
  </si>
  <si>
    <t>JONES</t>
  </si>
  <si>
    <t>KEOKUK</t>
  </si>
  <si>
    <t>KOSSUTH</t>
  </si>
  <si>
    <t>LEE</t>
  </si>
  <si>
    <t>LINN</t>
  </si>
  <si>
    <t>LOUISA</t>
  </si>
  <si>
    <t>LUCAS</t>
  </si>
  <si>
    <t>LYON</t>
  </si>
  <si>
    <t>MADISON</t>
  </si>
  <si>
    <t>MAHASKA</t>
  </si>
  <si>
    <t>MARION</t>
  </si>
  <si>
    <t>MARSHALL</t>
  </si>
  <si>
    <t>MILLS</t>
  </si>
  <si>
    <t>MITCHELL</t>
  </si>
  <si>
    <t>MONONA</t>
  </si>
  <si>
    <t>MONROE</t>
  </si>
  <si>
    <t>MONTGOMERY</t>
  </si>
  <si>
    <t>MUSCATINE</t>
  </si>
  <si>
    <t>O'BRIEN</t>
  </si>
  <si>
    <t>OSCEOLA</t>
  </si>
  <si>
    <t>PAGE</t>
  </si>
  <si>
    <t>PALO ALTO</t>
  </si>
  <si>
    <t>PLYMOUTH</t>
  </si>
  <si>
    <t>POCAHONTAS</t>
  </si>
  <si>
    <t>POLK</t>
  </si>
  <si>
    <t>POTTAWATTAMIE</t>
  </si>
  <si>
    <t>POWESHIEK</t>
  </si>
  <si>
    <t>RINGGOLD</t>
  </si>
  <si>
    <t>SAC</t>
  </si>
  <si>
    <t>SCOTT</t>
  </si>
  <si>
    <t>SHELBY</t>
  </si>
  <si>
    <t>SIOUX</t>
  </si>
  <si>
    <t>STORY</t>
  </si>
  <si>
    <t>TAMA</t>
  </si>
  <si>
    <t>TAYLOR</t>
  </si>
  <si>
    <t>UNION</t>
  </si>
  <si>
    <t>VAN BUREN</t>
  </si>
  <si>
    <t>WAPELLO</t>
  </si>
  <si>
    <t>WARREN</t>
  </si>
  <si>
    <t>WASHINGTON</t>
  </si>
  <si>
    <t>WAYNE</t>
  </si>
  <si>
    <t>WEBSTER</t>
  </si>
  <si>
    <t>WINNEBAGO</t>
  </si>
  <si>
    <t>WINNESHIEK</t>
  </si>
  <si>
    <t>WOODBURY</t>
  </si>
  <si>
    <t>WORTH</t>
  </si>
  <si>
    <t>WRIGHT</t>
  </si>
  <si>
    <t>Reallocation Factor</t>
  </si>
  <si>
    <t>Reallocation</t>
  </si>
  <si>
    <t>Actual Low Bids</t>
  </si>
  <si>
    <t>Contract Amt</t>
  </si>
  <si>
    <t>Total Contract</t>
  </si>
  <si>
    <t>HBP Funding</t>
  </si>
  <si>
    <t>Updated:</t>
  </si>
  <si>
    <t>Consultant</t>
  </si>
  <si>
    <t>Contracts</t>
  </si>
  <si>
    <t>Letting Date</t>
  </si>
  <si>
    <t>Project #</t>
  </si>
  <si>
    <t>Contract Amount</t>
  </si>
  <si>
    <t>Difference between Original HBP and Close-out HBP</t>
  </si>
  <si>
    <t xml:space="preserve">Total Difference between Contract and Final HBP </t>
  </si>
  <si>
    <t>BROS-SWAP-C044(87)--SE-44</t>
  </si>
  <si>
    <t>BROS-SWAP-C075(162)--FE-7</t>
  </si>
  <si>
    <t xml:space="preserve">BRS-CHBP-C083(75)--GB-83 </t>
  </si>
  <si>
    <t xml:space="preserve">BRS-CHBP-C083(76)--GB-83 </t>
  </si>
  <si>
    <t>BROS-SWAP-C086(98)--SE-86</t>
  </si>
  <si>
    <t>HBP Share Based on  Original Contract Amount</t>
  </si>
  <si>
    <t>HBP Share of Project Close-out Amount</t>
  </si>
  <si>
    <t>Adair County</t>
  </si>
  <si>
    <t>Adams County</t>
  </si>
  <si>
    <t>Allamakee County</t>
  </si>
  <si>
    <t>Henry County</t>
  </si>
  <si>
    <t>Plymouth County</t>
  </si>
  <si>
    <t>Shelby County</t>
  </si>
  <si>
    <t>Tama County</t>
  </si>
  <si>
    <t>Lee County</t>
  </si>
  <si>
    <t>*Joint project with Henry County</t>
  </si>
  <si>
    <t>***Joint project with Lee County</t>
  </si>
  <si>
    <t>Carroll County</t>
  </si>
  <si>
    <t>Page County</t>
  </si>
  <si>
    <t>Appanoose County</t>
  </si>
  <si>
    <t>Buchanan County</t>
  </si>
  <si>
    <t>Clarke County</t>
  </si>
  <si>
    <t>Fayette County</t>
  </si>
  <si>
    <t>Monona County</t>
  </si>
  <si>
    <t>Muscatine County</t>
  </si>
  <si>
    <t>Polk County</t>
  </si>
  <si>
    <t>Warren County</t>
  </si>
  <si>
    <t>Winneshiek County</t>
  </si>
  <si>
    <t xml:space="preserve">BROS-C096(151)--8J-96    </t>
  </si>
  <si>
    <t>BROS-SWAP-C070(64)--SE-70</t>
  </si>
  <si>
    <t>BROS-SWAP-C067(87)--SE-67</t>
  </si>
  <si>
    <t xml:space="preserve">BROS-C020(114)--8J-20    </t>
  </si>
  <si>
    <t xml:space="preserve">BROS-C033(77)--8J-33     </t>
  </si>
  <si>
    <t>REJECTED</t>
  </si>
  <si>
    <t xml:space="preserve">BROS-C010(111)--8J-10    </t>
  </si>
  <si>
    <t>Bremer County</t>
  </si>
  <si>
    <t>Calhoun County</t>
  </si>
  <si>
    <t>Cerro Gordo County</t>
  </si>
  <si>
    <t>Des Moines County</t>
  </si>
  <si>
    <t>Johnson County</t>
  </si>
  <si>
    <t>Sac County</t>
  </si>
  <si>
    <t>Story County</t>
  </si>
  <si>
    <t>Van Buren County</t>
  </si>
  <si>
    <t>Washington County</t>
  </si>
  <si>
    <t>Worth County</t>
  </si>
  <si>
    <t>BROS-SWAP-C098(73)--SE-98</t>
  </si>
  <si>
    <t>BROS-SWAP-C092(103)--SE-9</t>
  </si>
  <si>
    <t>BROS-SWAP-C092(104)--SE-9</t>
  </si>
  <si>
    <t>***79005.52 from Iowa Highway Research Board</t>
  </si>
  <si>
    <t>BROS-SWAP-C089(94)--FE-89</t>
  </si>
  <si>
    <t>BROS-SWAP-C085(148)--SE-8</t>
  </si>
  <si>
    <t xml:space="preserve">BRS-SWAP-C081(72)--FF-81 </t>
  </si>
  <si>
    <t>BRM-SWAP-C052(115)--SD-52</t>
  </si>
  <si>
    <t xml:space="preserve">BRS-SWAP-C029(87)--FF-29 </t>
  </si>
  <si>
    <t xml:space="preserve">BRS-SWAP-C029(88)--FF-29 </t>
  </si>
  <si>
    <t>BROS-SWAP-C013(88)--FE-13</t>
  </si>
  <si>
    <t>BROS-SWAP-C009(80)--SE-09</t>
  </si>
  <si>
    <t>Audubon County</t>
  </si>
  <si>
    <t>BROS-SWAP-C005(54)--FE-05</t>
  </si>
  <si>
    <t>Boone County</t>
  </si>
  <si>
    <t>Chickasaw County</t>
  </si>
  <si>
    <t>Clayton County</t>
  </si>
  <si>
    <t>Crawford County</t>
  </si>
  <si>
    <t>Davis County</t>
  </si>
  <si>
    <t>Decatur County</t>
  </si>
  <si>
    <t>Floyd County</t>
  </si>
  <si>
    <t>Guthrie County</t>
  </si>
  <si>
    <t>Ida County</t>
  </si>
  <si>
    <t>Iowa County</t>
  </si>
  <si>
    <t>Jackson County</t>
  </si>
  <si>
    <t>Kossuth County</t>
  </si>
  <si>
    <t>Linn County</t>
  </si>
  <si>
    <t>Pottawattamie County</t>
  </si>
  <si>
    <t>Webster County</t>
  </si>
  <si>
    <t>BRS-SWAP-C094(121)--FF-94</t>
  </si>
  <si>
    <t>BRS-SWAP-C094(122)--FF-94</t>
  </si>
  <si>
    <t>BRS-SWAP-C078(195)--FF-78</t>
  </si>
  <si>
    <t xml:space="preserve">BROS-C067(84)--8J-67     </t>
  </si>
  <si>
    <t xml:space="preserve">BROSCHBP-C067(86)--GA-67 </t>
  </si>
  <si>
    <t xml:space="preserve">BRS-CHBP-C067(85)--GB-67 </t>
  </si>
  <si>
    <t>BRS-SWAP-C057(143)--FF-57</t>
  </si>
  <si>
    <t>BRS-SWAP-C055(147)--FF-55</t>
  </si>
  <si>
    <t>BROS-SWAP-C049(66)--FE-49</t>
  </si>
  <si>
    <t>BROS-SWAP-C048(87)--SE-48</t>
  </si>
  <si>
    <t>BROS-SWAP-C047(56)--SE-47</t>
  </si>
  <si>
    <t xml:space="preserve">BRS-SWAP-C039(89)--FF-39 </t>
  </si>
  <si>
    <t>BRS-SWAP-C034(103)--FF-34</t>
  </si>
  <si>
    <t>BHOS-SWAP-C027(66)--FB-27</t>
  </si>
  <si>
    <t xml:space="preserve">BHS-SWAP-C027(74)--FC-27 </t>
  </si>
  <si>
    <t>*** $947,594.72 County-State Bridge Funds</t>
  </si>
  <si>
    <t>BROS-SWAP-C026(100)--FE-26</t>
  </si>
  <si>
    <t>BROS-SWAP-C026(109)--FE-26</t>
  </si>
  <si>
    <t>BRS-SWAP-C024(122)--FF-24</t>
  </si>
  <si>
    <t>BROS-SWAP-C022(90)--SE-22</t>
  </si>
  <si>
    <t>BROS-SWAP-C019(91)--SE-19</t>
  </si>
  <si>
    <t>BRS-SWAP-0127(601)--FF-19</t>
  </si>
  <si>
    <t>***$765,828.40 from City Bridge</t>
  </si>
  <si>
    <t>BROS-SWAP-C008(79)--SE-08</t>
  </si>
  <si>
    <t>Black Hawk County</t>
  </si>
  <si>
    <t>Cedar County</t>
  </si>
  <si>
    <t xml:space="preserve">BROS-C020(93)--5F-20     </t>
  </si>
  <si>
    <t>BROS-SWAP-C022(91)--SE-22</t>
  </si>
  <si>
    <t>Humboldt County</t>
  </si>
  <si>
    <t>BROS-SWAP-C046(73)--SE-46</t>
  </si>
  <si>
    <t>BRS-CHBP-C055(177)--GB-55</t>
  </si>
  <si>
    <t>CHBP Project</t>
  </si>
  <si>
    <t>Palo Alto County</t>
  </si>
  <si>
    <t>BRS-CHBP-C074(105)--GB-74</t>
  </si>
  <si>
    <t>Lyon County</t>
  </si>
  <si>
    <t xml:space="preserve">BROS-C060(119)--8J-60    </t>
  </si>
  <si>
    <t xml:space="preserve">BROS-C060(120)--8J-60    </t>
  </si>
  <si>
    <t>Marshall County</t>
  </si>
  <si>
    <t>BROS-SWAP-C064(132)--FE-64</t>
  </si>
  <si>
    <t>BROS-SWAP-C064(133)--FE-64</t>
  </si>
  <si>
    <t xml:space="preserve">BRS-SWAP-C086(97)--FF-86 </t>
  </si>
  <si>
    <t>Franklin County</t>
  </si>
  <si>
    <t>Hancock County</t>
  </si>
  <si>
    <t>Howard County</t>
  </si>
  <si>
    <t>Ringgold County</t>
  </si>
  <si>
    <t>Scott County</t>
  </si>
  <si>
    <t>Winnebago County</t>
  </si>
  <si>
    <t>BROS-SWAP-C095(70)--SE-95</t>
  </si>
  <si>
    <t xml:space="preserve">BRS-CHBP-C082(61)--GB-82 </t>
  </si>
  <si>
    <t xml:space="preserve">BRS-CHBP-C082(62)--GB-82 </t>
  </si>
  <si>
    <t>BROS-SWAP-C080(73)--FE-80</t>
  </si>
  <si>
    <t>BROS-SWAP-C073(134)--SE-73</t>
  </si>
  <si>
    <t>BROS-SWAP-C073(136)--FE-73</t>
  </si>
  <si>
    <t xml:space="preserve">BROSCHBP-C049(78)--GA-49 </t>
  </si>
  <si>
    <t>BROS-SWAP-C047(57)--FE-47</t>
  </si>
  <si>
    <t>BROS-SWAP-C047(58)--SE-47</t>
  </si>
  <si>
    <t>BROS-SWAP-C045(85)--SE-45</t>
  </si>
  <si>
    <t>BROS-SWAP-C045(86)--SE-45</t>
  </si>
  <si>
    <t>HBP Share Based on Original Contract Amount</t>
  </si>
  <si>
    <t>Benton County</t>
  </si>
  <si>
    <t>Buena Vista County</t>
  </si>
  <si>
    <t>Butler County</t>
  </si>
  <si>
    <t>Cass County</t>
  </si>
  <si>
    <t>Cherokee County</t>
  </si>
  <si>
    <t>Clay County</t>
  </si>
  <si>
    <t>Clinton County</t>
  </si>
  <si>
    <t>Dallas County</t>
  </si>
  <si>
    <t>Delaware County</t>
  </si>
  <si>
    <t>Dickinson County</t>
  </si>
  <si>
    <t>Dubuque County</t>
  </si>
  <si>
    <t>Emmet County</t>
  </si>
  <si>
    <t>Fremont County</t>
  </si>
  <si>
    <t>Greene County</t>
  </si>
  <si>
    <t>Grundy County</t>
  </si>
  <si>
    <t>Hamilton County</t>
  </si>
  <si>
    <t>Hardin County</t>
  </si>
  <si>
    <t>Harrison County</t>
  </si>
  <si>
    <t>Jasper County</t>
  </si>
  <si>
    <t>Jones County</t>
  </si>
  <si>
    <t>Keokuk County</t>
  </si>
  <si>
    <t>Louisa County</t>
  </si>
  <si>
    <t>Lucas County</t>
  </si>
  <si>
    <t>Madison County</t>
  </si>
  <si>
    <t>Mahaska County</t>
  </si>
  <si>
    <t>Marion County</t>
  </si>
  <si>
    <t>Mills County</t>
  </si>
  <si>
    <t>Mitchell County</t>
  </si>
  <si>
    <t>Monroe County</t>
  </si>
  <si>
    <t>Montgomery County</t>
  </si>
  <si>
    <t>O'Brien County</t>
  </si>
  <si>
    <t>Osceola County</t>
  </si>
  <si>
    <t>Pocahontas County</t>
  </si>
  <si>
    <t>Poweshiek County</t>
  </si>
  <si>
    <t>Sioux County</t>
  </si>
  <si>
    <t>Taylor County</t>
  </si>
  <si>
    <t>Union County</t>
  </si>
  <si>
    <t>Wapello County</t>
  </si>
  <si>
    <t>Woodbury County</t>
  </si>
  <si>
    <t>Wright County</t>
  </si>
  <si>
    <t>Wayne County</t>
  </si>
  <si>
    <t>Jefferson County</t>
  </si>
  <si>
    <t>BRS-SWAP-C006(107)--FF-06</t>
  </si>
  <si>
    <t xml:space="preserve">BROS-C033(136)--8J-33    </t>
  </si>
  <si>
    <t>BROS-SWAP-C035(104)--SE-35</t>
  </si>
  <si>
    <t>BROS-SWAP-C035(105)--SE-35</t>
  </si>
  <si>
    <t>BRS-SWAP-C050(124)--FF-50</t>
  </si>
  <si>
    <t>BRS-SWAP-6012(601)--FF-97</t>
  </si>
  <si>
    <t>City bridge and local city funds only</t>
  </si>
  <si>
    <t xml:space="preserve">BRS-SWAP-C015(65)--FF-15 </t>
  </si>
  <si>
    <t>BROS-SWAP-C081(74)--SE-81</t>
  </si>
  <si>
    <t>BROS-SWAP-C088(61)--FE-88</t>
  </si>
  <si>
    <t>BRS-CHBP-C054(117)--GB-54</t>
  </si>
  <si>
    <t xml:space="preserve">BROSCHBP-C058(61)--GA-58 </t>
  </si>
  <si>
    <t>BROSCHBP-C092(109)--NC-92</t>
  </si>
  <si>
    <t>BROS-SWAP-C006(98)--SE-06</t>
  </si>
  <si>
    <t>BROS-SWAP-C061(116)--SE-6</t>
  </si>
  <si>
    <t>BROS-SWAP-C062(96)--FE-62</t>
  </si>
  <si>
    <t>BROS-SWAP-C081(73)--SE-81</t>
  </si>
  <si>
    <t>BROS-SWAP-C089(95)--SE-89</t>
  </si>
  <si>
    <t>BRS-SWAP-C006(114)--FF-06</t>
  </si>
  <si>
    <t xml:space="preserve">BROSCHBP-C015(71)--GA-15 </t>
  </si>
  <si>
    <t>BRS-SWAP-2912(601)--FF-21</t>
  </si>
  <si>
    <t xml:space="preserve">BROSCHBP-C030(42)--GA-30 </t>
  </si>
  <si>
    <t xml:space="preserve">BROSCHBP-C036(78)--GA-36 </t>
  </si>
  <si>
    <t xml:space="preserve">BROSCHBP-C039(93)--GA-39 </t>
  </si>
  <si>
    <t>BRS-SWAP-C042(106)--FF-42</t>
  </si>
  <si>
    <t xml:space="preserve">BRS-CHBP-C051(76)--GB-51 </t>
  </si>
  <si>
    <t>BROSCHBP-C056(107)--NC-56</t>
  </si>
  <si>
    <t>BRS-CHBP-C073(123)--GB-73</t>
  </si>
  <si>
    <t>BROSCHBP-C084(165)--NC-84</t>
  </si>
  <si>
    <t>BRS-CHBP-C084(160)--GB-84</t>
  </si>
  <si>
    <t xml:space="preserve">BRS-CHBP-C089(93)--GB-89 </t>
  </si>
  <si>
    <t>BROS-SWAP-C094(112)--SE-94</t>
  </si>
  <si>
    <t>County-State Bridge funds = 80% of contract.  Remainder split with Tama County.</t>
  </si>
  <si>
    <t>County-State Bridge funds = 80% of contract.  Remainder split with Benton County.</t>
  </si>
  <si>
    <t>BROS-SWAP-C005(73)--SE-05</t>
  </si>
  <si>
    <t>BROSCHBP-C006(110)--GA-06</t>
  </si>
  <si>
    <t>BROSCHBP-C006(116)--GA-06</t>
  </si>
  <si>
    <t>BROSCHBP-C006(117)--NC-06</t>
  </si>
  <si>
    <t>BRS-CHBP-C006(115)--GB-06</t>
  </si>
  <si>
    <t>BROS-SWAP-C033(141)--SE-3</t>
  </si>
  <si>
    <t>BRS-CHBP-C035(102)--GB-35</t>
  </si>
  <si>
    <t>BROS-SWAP-C042(102)--SE-42</t>
  </si>
  <si>
    <t xml:space="preserve">BROSCHBP-C051(75)--GA-51 </t>
  </si>
  <si>
    <t>BROSCHBP-C052(123)--NC-52</t>
  </si>
  <si>
    <t>BRS-SWAP-C063(136)--FF-63</t>
  </si>
  <si>
    <t>BROS-SWAP-C067(89)--FE-67</t>
  </si>
  <si>
    <t xml:space="preserve">BRS-SWAP-C067(90)--FF-67 </t>
  </si>
  <si>
    <t xml:space="preserve">BROSCHBP-C068(74)--GA-68 </t>
  </si>
  <si>
    <t>BROS-SWAP-C080(77)--FE-80</t>
  </si>
  <si>
    <t>BRS-CHBP-C085(155)--GB-85</t>
  </si>
  <si>
    <t xml:space="preserve">BROSCHBP-C090(95)--GA-90 </t>
  </si>
  <si>
    <t xml:space="preserve">BROSCHBP-C090(96)--NC-90 </t>
  </si>
  <si>
    <t>BROSCHBP-C091(132)--GA-91</t>
  </si>
  <si>
    <t>BROS-SWAP-C091(128)--SE-91</t>
  </si>
  <si>
    <t>BROS-SWAP-C094(126)--FE-9</t>
  </si>
  <si>
    <t>BROS-SWAP-C094(127)--FE-9</t>
  </si>
  <si>
    <t>"Last Chance" Lettings</t>
  </si>
  <si>
    <t>FFY</t>
  </si>
  <si>
    <t>Revenue</t>
  </si>
  <si>
    <t>Expenditures</t>
  </si>
  <si>
    <t>Ending Balance</t>
  </si>
  <si>
    <t>Check</t>
  </si>
  <si>
    <t>Difference</t>
  </si>
  <si>
    <t>Yearly Drop in End Balance</t>
  </si>
  <si>
    <t>Yearly Difference in Expenditures</t>
  </si>
  <si>
    <t>^Full STIP amount</t>
  </si>
  <si>
    <t>^60% of full STIP amount (realistic estimate)</t>
  </si>
  <si>
    <t xml:space="preserve">BRS-SWAP-C002(78)--FF-02 </t>
  </si>
  <si>
    <t>BROS-SWAP-C003(66)--FE-03</t>
  </si>
  <si>
    <t>BHS-SWAP-C006(118)--FC-06</t>
  </si>
  <si>
    <t>BROS-SWAP-C013(101)--SE-13</t>
  </si>
  <si>
    <t>BROS-SWAP-C028(95)--SE-28</t>
  </si>
  <si>
    <t xml:space="preserve">BRS-SWAP-C028(98)--FF-28 </t>
  </si>
  <si>
    <t>BROS-SWAP-C031(106)--FE-3</t>
  </si>
  <si>
    <t>BROS-SWAP-C066(76)--SE-66</t>
  </si>
  <si>
    <t>BRS-SWAP-C078(199)--FF-78</t>
  </si>
  <si>
    <t>BROS-SWAP-C079(55)--SE-79</t>
  </si>
  <si>
    <t>BROS-SWAP-C003(68)--SE-03</t>
  </si>
  <si>
    <t xml:space="preserve">BRS-CHBP-C003(63)--GB-03 </t>
  </si>
  <si>
    <t xml:space="preserve">BRS-CHBP-C009(82)--GB-09 </t>
  </si>
  <si>
    <t>BRS-SWAP-2750(603)--FF-19</t>
  </si>
  <si>
    <t>***$634,078.82 from City Bridge</t>
  </si>
  <si>
    <t>BROS-SWAP-C020(118)--FE-20</t>
  </si>
  <si>
    <t>BROS-SWAP-C034(102)--FE-34</t>
  </si>
  <si>
    <t>BROS-SWAP-C038(116)--SE-38</t>
  </si>
  <si>
    <t>BRS-CHBP-C038(114)--GB-38</t>
  </si>
  <si>
    <t>BROS-SWAP-C043(88)--SE-43</t>
  </si>
  <si>
    <t>BROS-SWAP-C046(74)--SE-46</t>
  </si>
  <si>
    <t>BROS-SWAP-C049(81)--SE-49</t>
  </si>
  <si>
    <t>BROSCHBP-C060(124)--NC-60</t>
  </si>
  <si>
    <t>BROSCHBP-C064(134)--NC-64</t>
  </si>
  <si>
    <t>BROS-SWAP-C068(86)--SE-68</t>
  </si>
  <si>
    <t>BROS-SWAP-C090(80)--SE-90</t>
  </si>
  <si>
    <t>BROS-SWAP-C097(140)--SE-97</t>
  </si>
  <si>
    <t>BROS-SWAP-C097(135)--FE-97</t>
  </si>
  <si>
    <t>BROSCHBP-C097(141)--GA-97</t>
  </si>
  <si>
    <t>BRS-CHBP-C097(139)--GB-97</t>
  </si>
  <si>
    <t>Rejected.  Intented to relet 5/18/21.</t>
  </si>
  <si>
    <t>BROS-SWAP-C007(157)--SE-07</t>
  </si>
  <si>
    <t>BROS-SWAP-C007(161)--SE-07</t>
  </si>
  <si>
    <t>BROS-SWAP-C007(164)--SE-07</t>
  </si>
  <si>
    <t xml:space="preserve">BRS-CHBP-C013(98)--GB-13 </t>
  </si>
  <si>
    <t>BROS-SWAP-C016(110)--SE-16</t>
  </si>
  <si>
    <t>BROS-SWAP-C016(108)--FE-16</t>
  </si>
  <si>
    <t>BROS-SWAP-C020(119)--FE-20</t>
  </si>
  <si>
    <t xml:space="preserve">BROSCHBP-C030(59)--GA-30 </t>
  </si>
  <si>
    <t>BROS-SWAP-C033(140)--SE-33</t>
  </si>
  <si>
    <t>BRS-SWAP-C033(139)--FF-33</t>
  </si>
  <si>
    <t>BROS-SWAP-C048(90)--SE-48</t>
  </si>
  <si>
    <t>BROSCHBP-C055(189)--GA-55</t>
  </si>
  <si>
    <t>BRS-CHBP-C055(176)--GB-55</t>
  </si>
  <si>
    <t xml:space="preserve">BROSCHBP-C072(76)--NC-72 </t>
  </si>
  <si>
    <t>BROS-SWAP-C077(231)--SE-77</t>
  </si>
  <si>
    <t>BROS-SWAP-C077(225)--FE-77</t>
  </si>
  <si>
    <t xml:space="preserve">BROSCHBP-C009(84)--NC-09 </t>
  </si>
  <si>
    <t>BROS-SWAP-C013(100)--SE-13</t>
  </si>
  <si>
    <t>BROS-SWAP-C033(142)--SE-33</t>
  </si>
  <si>
    <t xml:space="preserve">BRS-CHBP-C066(78)--GB-66 </t>
  </si>
  <si>
    <t>BROSCHBP-C069(72)--GA-69</t>
  </si>
  <si>
    <t>BRS-CHBP-C069(73)--GB-69</t>
  </si>
  <si>
    <t>BROSCHBP-C094(124)--NC-94</t>
  </si>
  <si>
    <t>BROSCHBP-C094(125)--NC-94</t>
  </si>
  <si>
    <t>BROS-SWAP-C096(150)--SE-96</t>
  </si>
  <si>
    <t>BROS-SWAP-C098(80)--SE-98</t>
  </si>
  <si>
    <t xml:space="preserve">BROSCHBP-C098(79)--GA-98 </t>
  </si>
  <si>
    <t>Rejected</t>
  </si>
  <si>
    <t>BROS-SWAP-C001(113)--SE-01</t>
  </si>
  <si>
    <t>BROS-SWAP-C004(112)--FE-04</t>
  </si>
  <si>
    <t>BROS-SWAP-C004(106)--SE-04</t>
  </si>
  <si>
    <t>BROS-SWAP-C008(83)--SE-08</t>
  </si>
  <si>
    <t>BROS-SWAP-C015(72)--FE-15</t>
  </si>
  <si>
    <t>BRS-CHBP-C019(105)--GB-19</t>
  </si>
  <si>
    <t>CHBP</t>
  </si>
  <si>
    <t xml:space="preserve">BRS-CHBP-C045(88)--GB-45 </t>
  </si>
  <si>
    <t xml:space="preserve">BROS-C061(119)--5F-61    </t>
  </si>
  <si>
    <t>BROS-SWAP-C070(68)--SE-70</t>
  </si>
  <si>
    <t>BROS-SWAP-C074(109)--SE-74</t>
  </si>
  <si>
    <t>BROS-SWAP-C021(145)--FE-21</t>
  </si>
  <si>
    <t>BROS-SWAP-C023(122)--FE-23</t>
  </si>
  <si>
    <t xml:space="preserve">BRS-SWAP-C039(96)--FF-39 </t>
  </si>
  <si>
    <t>BROS-SWAP-C012(114)--SE-12</t>
  </si>
  <si>
    <t>BROS-SWAP-C035(93)--SE-35</t>
  </si>
  <si>
    <t>BROS-SWAP-C086(104)--FE-86</t>
  </si>
  <si>
    <t>BROS-SWAP-C088(65)--FE-88</t>
  </si>
  <si>
    <t>BROS-SWAP-C009(88)--FE-09</t>
  </si>
  <si>
    <t>***Joint project with Fayette County</t>
  </si>
  <si>
    <t>***Joint project with Bremer County</t>
  </si>
  <si>
    <t>Re-let project from 3/16/21 letting</t>
  </si>
  <si>
    <t>BHS-SWAP-C023(118)--FC-23</t>
  </si>
  <si>
    <t>BROS-SWAP-C040(102)--SE-40</t>
  </si>
  <si>
    <t>BROS-SWAP-C040(103)--SE-40</t>
  </si>
  <si>
    <t>BRS-SWAP-C060(123)--FF-60</t>
  </si>
  <si>
    <t>BRS-CHBP-C061(125)--GB-61</t>
  </si>
  <si>
    <t>BROSCHBP-C091(134)--NC-91</t>
  </si>
  <si>
    <t>BRS-CHBP-C091(133)--GB-91</t>
  </si>
  <si>
    <t>BRS-SWAP-C061(115)--FF-61</t>
  </si>
  <si>
    <t>$1,500,000 match from County-State Bridge Fund</t>
  </si>
  <si>
    <t>BROS-SWAP-C062(99)--FE-62</t>
  </si>
  <si>
    <t>BROS-SWAP-C079(53)--FE-79</t>
  </si>
  <si>
    <t>BROS-SWAP-C079(57)--SE-79</t>
  </si>
  <si>
    <t>BROS-SWAP-C086(103)--FE-86</t>
  </si>
  <si>
    <t>BROS-SWAP-C006(109)--FE-06</t>
  </si>
  <si>
    <t>BROSCHBP-C025(115)--NC-25</t>
  </si>
  <si>
    <t xml:space="preserve">BRS-CHBP-C039(95)--GB-39 </t>
  </si>
  <si>
    <t>BRS-CHBP-C050(128)--GB-50</t>
  </si>
  <si>
    <t>BRS-CHBP-C050(129)--GB-50</t>
  </si>
  <si>
    <t>BROSCHBP-C061(124)--NC-61</t>
  </si>
  <si>
    <t>BRS-CHBP-C077(228)--GB-77</t>
  </si>
  <si>
    <t>BRS-CHBP-C079(060)--GB-79</t>
  </si>
  <si>
    <t xml:space="preserve">BRS-SWAP-C043(89)--FF-43 </t>
  </si>
  <si>
    <t>BROS-SWAP-C063(138)--SE-63</t>
  </si>
  <si>
    <t>BROS-SWAP-C069(69)--FE-69</t>
  </si>
  <si>
    <t>BROS-SWAP-C081(79)--SE-81</t>
  </si>
  <si>
    <t>BROS-SWAP-C018(81)--SE-18</t>
  </si>
  <si>
    <t>BRS-SWAP-C042(108)--FF-42</t>
  </si>
  <si>
    <t>BROS-SWAP-C059(64)--FE-59</t>
  </si>
  <si>
    <t>BROS-SWAP-C070(70)--SE-70</t>
  </si>
  <si>
    <t>BROS-SWAP-C071(88)--FE-71</t>
  </si>
  <si>
    <t xml:space="preserve">BHS-SWAP-C079(62)--FC-79 </t>
  </si>
  <si>
    <t>BROS-SWAP-C081(80)--FE-81</t>
  </si>
  <si>
    <t>BROS-SWAP-C086(102)--SE-86</t>
  </si>
  <si>
    <t>BROS-SWAP-C092(115)--SE-92</t>
  </si>
  <si>
    <t>BROS-SWAP-C094(128)--FE-92</t>
  </si>
  <si>
    <t xml:space="preserve">BRS-SWAP-C095(81)--FF-95 </t>
  </si>
  <si>
    <t>BHOS-SWAP-C098(83)--FB-98</t>
  </si>
  <si>
    <t>BROS-SWAP-C009(53)--SE-09</t>
  </si>
  <si>
    <t>BROS-SWAP-C009(87)--SE-09</t>
  </si>
  <si>
    <t>BROS-SWAP-C014(167)--SE-14</t>
  </si>
  <si>
    <t>BROS-SWAP-C014(169)--SE-14</t>
  </si>
  <si>
    <t xml:space="preserve">BHS-SWAP-C027(85)--FC-27 </t>
  </si>
  <si>
    <t xml:space="preserve">BHS-SWAP-C027(86)--FC-27 </t>
  </si>
  <si>
    <t>BROS-SWAP-C038(125)--SE-38</t>
  </si>
  <si>
    <t>BROS-SWAP-C038(122)--SE-38</t>
  </si>
  <si>
    <t>BROS-SWAP-C049(82)--FE-49</t>
  </si>
  <si>
    <t>BRS-SWAP-C055(194)--FF-55</t>
  </si>
  <si>
    <t>BRS-SWAP-C096(119)--FF-96</t>
  </si>
  <si>
    <t>&lt;Remainder funded by CBCF</t>
  </si>
  <si>
    <t>BROS-SWAP-C096(147)--SE-96</t>
  </si>
  <si>
    <t>BROS-SWAP-C019(107)--FE-19</t>
  </si>
  <si>
    <t>BROS-SWAP-C022(94)--SE-22</t>
  </si>
  <si>
    <t>BROS-SWAP-C024(128)--SE-24</t>
  </si>
  <si>
    <t>BROS-SWAP-C033(145)--SE-33</t>
  </si>
  <si>
    <t>BROS-SWAP-4650(601)--SE-51</t>
  </si>
  <si>
    <t>BROS-SWAP-C074(110)--SE-74</t>
  </si>
  <si>
    <t xml:space="preserve">BRS-SWAP-C076(73)--FF-76 </t>
  </si>
  <si>
    <t>BRS-SWAP-C099(100)--FF-99</t>
  </si>
  <si>
    <t>Actuals</t>
  </si>
  <si>
    <t>STIP-Based Estimates</t>
  </si>
  <si>
    <t>Bridge Repl. &amp; Rehab Revenue</t>
  </si>
  <si>
    <t>Bridge Repl. &amp; Rehab shown with year applied to account rather than year apportioned.</t>
  </si>
  <si>
    <t>estimated</t>
  </si>
  <si>
    <t>to date only</t>
  </si>
  <si>
    <t>BROS-SWAP-C041(125)--FE-41</t>
  </si>
  <si>
    <t>BROS-SWAP-C041(127)--SE-41</t>
  </si>
  <si>
    <t>BROS-SWAP-C048(92)--SE-48</t>
  </si>
  <si>
    <t>BROS-SWAP-C093(85)--FE-93</t>
  </si>
  <si>
    <t xml:space="preserve">BROS-C025(113)--8J-25    </t>
  </si>
  <si>
    <t xml:space="preserve">BRS-SWAP-C081(81)--FF-81 </t>
  </si>
  <si>
    <t>BROS-SWAP-C090(100)--SE-90</t>
  </si>
  <si>
    <t>-</t>
  </si>
  <si>
    <t>STBG is match instead of HBP.  Sent Finance the correction on 4/20/22.</t>
  </si>
  <si>
    <t>SwapC was changed to FM.  Finance will need to remember to NOT request reimbursement from the SwapC fund and simply leave it as paid from the FM account.  Previously entered HBP share was $468,541.65.  So far so good on 4/20/22.</t>
  </si>
  <si>
    <t>TPMS IDs 45114, 45115 shared with Tama County (Tama County ID 45125, 45127)</t>
  </si>
  <si>
    <t>BROS-SWAP-C006(119)--SE-06</t>
  </si>
  <si>
    <t>BROS-SWAP-C025(119)--SE-25</t>
  </si>
  <si>
    <t>BRS-SWAP-C038(126)--FF-38</t>
  </si>
  <si>
    <t xml:space="preserve">BRS-SWAP-C066(82)--FF-66 </t>
  </si>
  <si>
    <t>BROS-SWAP-C097(148)--FE-97</t>
  </si>
  <si>
    <t>BRS-SWAP-C097(146)--FF-97</t>
  </si>
  <si>
    <t>BROS-SWAP-C075(158)--SE-75</t>
  </si>
  <si>
    <t xml:space="preserve">BRS-SWAP-C029(86)--FF-29 </t>
  </si>
  <si>
    <t>IIJA</t>
  </si>
  <si>
    <t>City</t>
  </si>
  <si>
    <t>LPA HIP</t>
  </si>
  <si>
    <t>Total Iowa HIP</t>
  </si>
  <si>
    <t>LPA HIP %</t>
  </si>
  <si>
    <t>Iowa BFP</t>
  </si>
  <si>
    <t>LPA's BFP Bridge Fund Allocation:</t>
  </si>
  <si>
    <t>Obligation Limitation:</t>
  </si>
  <si>
    <t>(BFP not limited)</t>
  </si>
  <si>
    <t>HIP Off-the-top to CBCF</t>
  </si>
  <si>
    <t>BFP Off-the-top to CBCF</t>
  </si>
  <si>
    <t>Counties' Percentage (compared to cities):</t>
  </si>
  <si>
    <t>FFY2022 Bridge Repl. &amp; Rehab 
(Actual)</t>
  </si>
  <si>
    <t>Bridge Removal Mitigation Program payment</t>
  </si>
  <si>
    <t>BROS-SWAP-C015(73)--FE-15</t>
  </si>
  <si>
    <t xml:space="preserve">BHS-SWAP-C018(86)--FC-18 </t>
  </si>
  <si>
    <t>BROS-SWAP-C043(90)--SE-43</t>
  </si>
  <si>
    <t>BROS-SWAP-C065(115)--FE-65</t>
  </si>
  <si>
    <t>FM Supplement from STBG / City Bridge FM Equivalent</t>
  </si>
  <si>
    <t>County/City HIP</t>
  </si>
  <si>
    <t>County/City Estimated BFP Allocation:</t>
  </si>
  <si>
    <t>County/City Percentage:</t>
  </si>
  <si>
    <t>County/City HIP for distribution through HBP programs</t>
  </si>
  <si>
    <t>County/City BFP for distribution through HBP programs</t>
  </si>
  <si>
    <t>BROS-SWAP-C033(146)--SE-33</t>
  </si>
  <si>
    <t>Fed-aid matched with Swap</t>
  </si>
  <si>
    <t>BRS-SWAP-C073(140)--FF-73</t>
  </si>
  <si>
    <t xml:space="preserve">BRS-SWAP-C079(64)--FF-79 </t>
  </si>
  <si>
    <t>Total LPA STBG (from STBG flowchart)</t>
  </si>
  <si>
    <t>Total FM Supplement (20% of Rural RPA as shown on STBG flowchart)</t>
  </si>
  <si>
    <t>STBG-SWAP-C011(116)--FG-11</t>
  </si>
  <si>
    <t>BROS-SWAP-C015(75)--FE-15</t>
  </si>
  <si>
    <t>BROS-SWAP-C040(106)--SE-40</t>
  </si>
  <si>
    <t>BRS-SWAP-C086(107)--FF-86</t>
  </si>
  <si>
    <t>TPMS IDs 45114, 45115 shared with Marshall County (Tama County ID 45125, 45127)</t>
  </si>
  <si>
    <t>***Joint project with Chickasaw County</t>
  </si>
  <si>
    <t>Actual amount of bridge money attributed to locals from the DOT is "LPA's BFP Bridge Fund Allocation" minus the FM Supplement because technically, the DOT keeps the federal $ for the FM Supplement and swaps it.</t>
  </si>
  <si>
    <t>FINAL FFY'22 FM SUPPLEMENT TOTAL</t>
  </si>
  <si>
    <t>STBG</t>
  </si>
  <si>
    <t>County HBP</t>
  </si>
  <si>
    <t>Total</t>
  </si>
  <si>
    <t>V Finalized in 09.21.22 Meeting with Shawn and Nicole</t>
  </si>
  <si>
    <t>BROS-SWAP-C006(120)--SE-06</t>
  </si>
  <si>
    <t>BROS-SWAP-C056(111)--FE-56</t>
  </si>
  <si>
    <t>$1M in CBCF</t>
  </si>
  <si>
    <t>BROS-SWAP-C077(216)--SE-77</t>
  </si>
  <si>
    <t>BRS-SWAP-C084(170)--FF-84</t>
  </si>
  <si>
    <t>HBP capped based on available account balance.  FM is remainder of contract.</t>
  </si>
  <si>
    <t>BRS-SWAP-C090(105)--FF-90</t>
  </si>
  <si>
    <t>BFP trade for FM Supplement</t>
  </si>
  <si>
    <t>&lt; From STBG (Part of the 54.3%)</t>
  </si>
  <si>
    <t>From City share of 54.3% STBG</t>
  </si>
  <si>
    <t>BROS-SWAP-C051(81)--FE-51</t>
  </si>
  <si>
    <t>Remainder ($1,000,000) from City funds</t>
  </si>
  <si>
    <t>BROS-SWAP-C080(82)--FE-80</t>
  </si>
  <si>
    <t xml:space="preserve">BRS-SWAP-C080(83)--FF-80 </t>
  </si>
  <si>
    <t>BROS-SWAP-C086(99)--SE-86</t>
  </si>
  <si>
    <t>BROS-SWAP-2412(601)--FE-73</t>
  </si>
  <si>
    <t xml:space="preserve">BRS-CHBP-C082(60)--GB-82        </t>
  </si>
  <si>
    <t xml:space="preserve">BRS-CHBP-C082(63)--GB-82  </t>
  </si>
  <si>
    <t xml:space="preserve">BRS-CHBP-C016(109)--GB-16           </t>
  </si>
  <si>
    <t>BROS-SWAP-C001(118)--SE-01</t>
  </si>
  <si>
    <t>BROS-SWAP-C004(120)--SE-04</t>
  </si>
  <si>
    <t>BRS-SWAP-C007(169)--FF-07</t>
  </si>
  <si>
    <t>BRS-SWAP-C011(100)--FF-11</t>
  </si>
  <si>
    <t xml:space="preserve">BROS-C015(68)--8J-15     </t>
  </si>
  <si>
    <t>BROS-SWAP-C015(74)--SE-15</t>
  </si>
  <si>
    <t>BROS-SWAP-C016(115)--SE-16</t>
  </si>
  <si>
    <t>BROS-SWAP-C022(95)--SE-22</t>
  </si>
  <si>
    <t>BROS-SWAP-C027(87)--FE-27</t>
  </si>
  <si>
    <t>BROS-SWAP-C042(110)--FE-42</t>
  </si>
  <si>
    <t xml:space="preserve">BROS-C046(83)--8J-46     </t>
  </si>
  <si>
    <t>BROS-SWAP-C046(82)--SE-46</t>
  </si>
  <si>
    <t>BRS-SWAP-2215(601)--FF-61</t>
  </si>
  <si>
    <t>$1,000,000 City Bridge</t>
  </si>
  <si>
    <t>BROS-SWAP-C064(115)--SE-64</t>
  </si>
  <si>
    <t xml:space="preserve">BROS-C081(83)--8J-81     </t>
  </si>
  <si>
    <t>BRS-SWAP-C085(170)--FF-85</t>
  </si>
  <si>
    <t>FFY2022
(Actual)</t>
  </si>
  <si>
    <t>copy to corresponding year column in next year's worksheet</t>
  </si>
  <si>
    <t>copy to actual ending blance column in next year's sheet</t>
  </si>
  <si>
    <t>BROS-SWAP-C014(171)--SE-14</t>
  </si>
  <si>
    <t>BROS-SWAP-C016(113)--FE-16</t>
  </si>
  <si>
    <t>BROS-SWAP-C019(110)--SE-19</t>
  </si>
  <si>
    <t>BROS-SWAP-C026(117)--SE-26</t>
  </si>
  <si>
    <t>BROS-SWAP-C026(112)--SE-26</t>
  </si>
  <si>
    <t xml:space="preserve">BHS-C027(77)--63-27      </t>
  </si>
  <si>
    <t xml:space="preserve">BHOS-C035(113)--5N-35    </t>
  </si>
  <si>
    <t xml:space="preserve">BHOS-C035(115)--5N-35    </t>
  </si>
  <si>
    <t xml:space="preserve">BHS-C035(112)--63-35     </t>
  </si>
  <si>
    <t xml:space="preserve">BHS-C035(114)--63-35     </t>
  </si>
  <si>
    <t xml:space="preserve">BHS-C035(116)--63-35     </t>
  </si>
  <si>
    <t>BROS-SWAP-C035(109)--SE-35</t>
  </si>
  <si>
    <t>BROS-SWAP-C045(91)--SE-45</t>
  </si>
  <si>
    <t>BROS-SWAP-C049(86)--SE-49</t>
  </si>
  <si>
    <t xml:space="preserve">BRS-C055(198)--60-55     </t>
  </si>
  <si>
    <t>BROS-SWAP-C089(101)--SE-89</t>
  </si>
  <si>
    <t xml:space="preserve">BROS-C090(103)--5F-90    </t>
  </si>
  <si>
    <t>BROS-SWAP-C096(160)--SE-96</t>
  </si>
  <si>
    <t>BROS-SWAP-C096(161)--FE-96</t>
  </si>
  <si>
    <t>BROS-SWAP-C096(162)--SE-96</t>
  </si>
  <si>
    <t xml:space="preserve">BROS-C012(123)--8J-12    </t>
  </si>
  <si>
    <t xml:space="preserve">BROS-C012(124)--8J-12    </t>
  </si>
  <si>
    <t xml:space="preserve">BRS-C015(46)--60-15      </t>
  </si>
  <si>
    <t xml:space="preserve">BROS-C019(109)--8J-19    </t>
  </si>
  <si>
    <t>BRM-SWAP-4742(622)--SD-49</t>
  </si>
  <si>
    <t>Split with City Bridge (SwapM) and City of Maquoketa - City Bridge funded first $1M, then City and County split remainder 34/66</t>
  </si>
  <si>
    <t xml:space="preserve">BRS-C024(129)--60-24     </t>
  </si>
  <si>
    <t xml:space="preserve">BROS-C048(95)--8J-48     </t>
  </si>
  <si>
    <t xml:space="preserve">BRS-C050(116)--60-50     </t>
  </si>
  <si>
    <t xml:space="preserve">BROS-C057(164)--8J-57    </t>
  </si>
  <si>
    <t xml:space="preserve">BRS-C099(101)--60-99     </t>
  </si>
  <si>
    <t>&lt; Debit from County HBP for FM Supplement is rounded number agreed to by Shawn Majors.  This will be static for every year of the bill. --- City value is amount given from County HBP to add to City FM Supplement from STBG to make total City FM Equivalent equal to total County FM Supplement.</t>
  </si>
  <si>
    <t>Final Totals for Distribution through HBP</t>
  </si>
  <si>
    <t>Final Totals for Distribution through all bridge programs</t>
  </si>
  <si>
    <t>Final Totals for Distribution through all bridge programs + FM Supplement</t>
  </si>
  <si>
    <t>Total LPA</t>
  </si>
  <si>
    <t>FFY2023 Bridge Repl. &amp; Rehab 
(Actual)</t>
  </si>
  <si>
    <t>Years Fund Accum       (Including Bridge Repl. &amp; Rehab in annual average allocation)</t>
  </si>
  <si>
    <t>BRS-SWAP-C012(113)--FF-12</t>
  </si>
  <si>
    <t>80% CBCF</t>
  </si>
  <si>
    <t xml:space="preserve">BRS-C066(83)--60-66      </t>
  </si>
  <si>
    <t xml:space="preserve">BRS-C097(147)--60-97     </t>
  </si>
  <si>
    <t xml:space="preserve">BROS-C044(93)--8J-44     </t>
  </si>
  <si>
    <t>BROS-C033(148)--8J-33</t>
  </si>
  <si>
    <t>BROS-C033(147)--8J-33</t>
  </si>
  <si>
    <t>BROS-C017(35)--8J-17</t>
  </si>
  <si>
    <t>BROS-SWAP-C017(104)--SE-17</t>
  </si>
  <si>
    <t>BROS-C031(117)--5F-31</t>
  </si>
  <si>
    <t>BROS-C031(116)--8J-31</t>
  </si>
  <si>
    <t>BHOS-C040(109)--5N-40</t>
  </si>
  <si>
    <t>BROS-C069(75)--8J-69</t>
  </si>
  <si>
    <t>BROS-C081(91)--8J-81</t>
  </si>
  <si>
    <t>BRS-C095(79)--60-95</t>
  </si>
  <si>
    <t>BROS-C034(104)--8J-34</t>
  </si>
  <si>
    <t>BRS-C063(142)--60-63</t>
  </si>
  <si>
    <t>BROS-C074(113)--8J-74</t>
  </si>
  <si>
    <t>BROS-C074(112)--8J-74</t>
  </si>
  <si>
    <t>BROS-C072(79)--5F-72</t>
  </si>
  <si>
    <t>BRS-8550(601)--60-99</t>
  </si>
  <si>
    <t>$75,000 FM for RR and $1,000,000 City Bridge - Remainder County HBP</t>
  </si>
  <si>
    <t xml:space="preserve">FM Supplement transfer made in October of 2022 was FFY22 Monies for the 23 program.  </t>
  </si>
  <si>
    <t xml:space="preserve">FM Supplement transfer made in October of 2023 was FFY23 Monies for the 24 program.  </t>
  </si>
  <si>
    <t>BRS-C062(103)--60-62</t>
  </si>
  <si>
    <t>BRS-C073(145)--60-73</t>
  </si>
  <si>
    <t>HDP-C069(82)--6B-69</t>
  </si>
  <si>
    <t>Earmark.  HBP not needed with original contract price but may be needed if project costs exceed $2.5M</t>
  </si>
  <si>
    <t>FFY2023
(Actual)</t>
  </si>
  <si>
    <t>4 Year Total               (W/ 2021-2023 Bridge Repl. &amp; Rehab)</t>
  </si>
  <si>
    <t>4 Year Average        (W/ 2021-2023 Bridge Repl. &amp; Rehab)</t>
  </si>
  <si>
    <t>v Add "Extra" into this column if received in appropriations bill</t>
  </si>
  <si>
    <t>FFY2024 Bridge Repl. &amp; Rehab 
(Actual)</t>
  </si>
  <si>
    <r>
      <rPr>
        <b/>
        <sz val="8"/>
        <color theme="8"/>
        <rFont val="Arial"/>
        <family val="2"/>
      </rPr>
      <t>v Add "Extra" into this column if received in appropriations bill</t>
    </r>
    <r>
      <rPr>
        <b/>
        <sz val="8"/>
        <rFont val="Arial"/>
        <family val="2"/>
      </rPr>
      <t xml:space="preserve"> copy to corresponding year column in next year's worksheet</t>
    </r>
  </si>
  <si>
    <t>&lt; From 2023 DOT Annual Bridge Report (Deck area)</t>
  </si>
  <si>
    <r>
      <rPr>
        <b/>
        <sz val="8"/>
        <rFont val="Arial"/>
        <family val="2"/>
      </rPr>
      <t>4.5</t>
    </r>
    <r>
      <rPr>
        <sz val="8"/>
        <rFont val="Arial"/>
        <family val="2"/>
      </rPr>
      <t xml:space="preserve"> Year Borrow Ahead Available to Let</t>
    </r>
  </si>
  <si>
    <t>BROS-C040(112)--5F-40</t>
  </si>
  <si>
    <t>BROS-C081(90)--8J-81</t>
  </si>
  <si>
    <t>BRS-C055(199)--60-55</t>
  </si>
  <si>
    <t>BROS-C055(200)--5F-55</t>
  </si>
  <si>
    <t>BROS-C037(84)--8J-37</t>
  </si>
  <si>
    <t>BROS-C045(94)--8J-45</t>
  </si>
  <si>
    <t>BROS-C090(109)--8J-90</t>
  </si>
  <si>
    <t>BROS-C076(70)--8J-76</t>
  </si>
  <si>
    <t>Split w/ Calhoun County ($41,530.00 non-participating) - Funding eligibility in question as of 12.19.23</t>
  </si>
  <si>
    <t>BROS-C004(122)--5F-04</t>
  </si>
  <si>
    <t>BROS-C004(121)--8J-04</t>
  </si>
  <si>
    <t>BHS-C007(170)--63-07</t>
  </si>
  <si>
    <t>BRS-C009(93)--60-09</t>
  </si>
  <si>
    <t>BROS-C009(94)--8J-09</t>
  </si>
  <si>
    <t>BRS-C045(92)--60-45</t>
  </si>
  <si>
    <t>BROS-C048(96)--8J-48</t>
  </si>
  <si>
    <t>BRS-C050(137)--60-50</t>
  </si>
  <si>
    <t>BRS-C052(128)--60-52</t>
  </si>
  <si>
    <t>BRS-C079(66)--60-79</t>
  </si>
  <si>
    <t>PE &amp; ROW</t>
  </si>
  <si>
    <r>
      <t xml:space="preserve">PE/CE Contract was originally $75,815.10 but was amended to $65,544.60.  The amended amount is what is shown in the Contract Amount here. </t>
    </r>
    <r>
      <rPr>
        <sz val="11"/>
        <color theme="8" tint="-0.249977111117893"/>
        <rFont val="Calibri"/>
        <family val="2"/>
        <scheme val="minor"/>
      </rPr>
      <t xml:space="preserve"> $33,267.60 was already charged to HBP in the FFY'19 sheet.</t>
    </r>
  </si>
  <si>
    <t>Federal-aid for PE/CE $71,986.10 was missed in the FFY'18 HBP and needs to be included in the reconciliation here for this project.</t>
  </si>
  <si>
    <t>BROS-C020(114)--8J-20:  Final total construction cost was $248,097.62 (80% = $198,478.10).  A consultant contract amount for this project was shown in the FFY'19 HBP of $33,267.60 with a note saying, "Amendment to original 2018 design agreement".  This amount was incorrect.  The original agreement was $74,815.10, and the amended contract amount was $65,544.60 (deduct of $9,270.50).  AP and Workday show a final contract cost of $65,760.96, which is 80% of the revised amount of $82,201.19 on the FMIS closure document.  --- Additionally, Federal-aid was used for ROW, but no ROW was accounted for in the HBP sheet.  AP shows $5,908.88, which is 80% of FMIS value.  The FMIS closure document shows $7,386.10.</t>
  </si>
  <si>
    <t xml:space="preserve">Total Difference Between Contract and Final HBP (Adjustment for Final Costs) </t>
  </si>
  <si>
    <t>$0 share to HBP fund because County-State Bridge covered balance remaining after CHBP.  Final project cost = $154,620.29 (CHBP = $71,006.00, CBCF = $83,614.29, HBP = $0)</t>
  </si>
  <si>
    <t>FFY'23</t>
  </si>
  <si>
    <t>FFY'24</t>
  </si>
  <si>
    <t>Complete</t>
  </si>
  <si>
    <t>Difference Between Original HBP and Close-out HBP</t>
  </si>
  <si>
    <t>`</t>
  </si>
  <si>
    <t>CBCF (20% up to $420,000) = $345,858.71, CBCF-HBP (60% up to $1,260,000) = $1,037,576.12, HBP Remainder (20% no limit) = $345,858.71</t>
  </si>
  <si>
    <t>BROS-C006(122)--8J-06</t>
  </si>
  <si>
    <t>BRS-5832(601)--60-42</t>
  </si>
  <si>
    <t>City Bridge funds</t>
  </si>
  <si>
    <t>BROS-C081(94)--8J-81</t>
  </si>
  <si>
    <t>BROS-C095(86)--8J-95</t>
  </si>
  <si>
    <t>BROS-C077(240)--8J-77</t>
  </si>
  <si>
    <t>BHS-C023(134)--63-23</t>
  </si>
  <si>
    <t>BROS-C026(114)--8J-26</t>
  </si>
  <si>
    <t>BRS-C082(65)--60-82</t>
  </si>
  <si>
    <t>BROS-C016(116)--5F-16</t>
  </si>
  <si>
    <t>BROS-C041(138)--8J-41</t>
  </si>
  <si>
    <t>BROS-C041(137)--8J-41</t>
  </si>
  <si>
    <t>BROS-C041(136)--8J-41</t>
  </si>
  <si>
    <t>BRS-C024(131)--60-24</t>
  </si>
  <si>
    <t>BROS-C089(102)--8J-89</t>
  </si>
  <si>
    <t>Actual Contract Cost = $2,961,328.63_ CBCF = 20% up to $500,000, CBCF-HBP = 60% up to $1,500,000, Standard HBP = 20% or remainder SPLIT W/ CLINTON COUNTY</t>
  </si>
  <si>
    <t>Rejected.  To be let at a later date. (Contract amount $667,373.77)</t>
  </si>
  <si>
    <t>BROS-C031(118)--5F-31</t>
  </si>
  <si>
    <t>BROS-C018(93)--5F-18</t>
  </si>
  <si>
    <t>BROS-C019(111)--5F-19</t>
  </si>
  <si>
    <t>BROS-C013(106)--5F-13</t>
  </si>
  <si>
    <t>BROS-C020(123)--5F-20</t>
  </si>
  <si>
    <t>BRS-C043(98)--60-43</t>
  </si>
  <si>
    <t>BROS-C095(87)--8J-95</t>
  </si>
  <si>
    <t>BROS-C086(111)--8J-86</t>
  </si>
  <si>
    <t>BROS-C086(108)--8J-86</t>
  </si>
  <si>
    <t>BROS-C049(90)--8J-49</t>
  </si>
  <si>
    <t>BHOS-C039(99)--5N-39</t>
  </si>
  <si>
    <t>Final project cost = $489,353.94, CHBP = $300,410.00</t>
  </si>
  <si>
    <t>BROS-C006(128)--8J-06</t>
  </si>
  <si>
    <t>BROS-C006(127)--8J-06</t>
  </si>
  <si>
    <t>BRS-C033(155)--60-33</t>
  </si>
  <si>
    <t>BROS-C048(97)--8J-48</t>
  </si>
  <si>
    <t>BROS-C065(118)--8J-65</t>
  </si>
  <si>
    <t>$32,000 locally funded for non-eligible items</t>
  </si>
  <si>
    <t>BRS-C090(108)--60-90</t>
  </si>
  <si>
    <t>BRS-C096(138)--60-96</t>
  </si>
  <si>
    <t>CHBP max = $395,995.00, Final Cost = $732,025.53</t>
  </si>
  <si>
    <t>CHBP max = $163,860.00, Final Cost = $458,447.90</t>
  </si>
  <si>
    <t>CHBP max = $273,100.00, Final Cost = $351,552.66</t>
  </si>
  <si>
    <t>CHBP max = $218,480.00, Final Cost = $436,064.45</t>
  </si>
  <si>
    <t>Johnson County (123):  CHBP max = $273,100.00, Final Cost = $588,064.59</t>
  </si>
  <si>
    <t>Total CHBP Contract: CHBP max = $1,324,535.00, Final Cost = $2,566,155.13 (matches FMIS)</t>
  </si>
  <si>
    <t>BRS-C080(85)--60-80</t>
  </si>
  <si>
    <t>BROS-C086(110)--8J-86</t>
  </si>
  <si>
    <t>BROS-C086(109)--8J-86</t>
  </si>
  <si>
    <t>BROS-C057(172)--8J-57</t>
  </si>
  <si>
    <t>BROS-C022(98)--8J-22</t>
  </si>
  <si>
    <t>BROS-C038(134)--8J-38</t>
  </si>
  <si>
    <t>BROS-C076(76)--8J-76</t>
  </si>
  <si>
    <t>BROS-C076(75)--8J-76</t>
  </si>
  <si>
    <t>BROS-C044(98)--5F-44</t>
  </si>
  <si>
    <t>80% FA, 20% Swap</t>
  </si>
  <si>
    <t>BRS-4870(601)--60-33</t>
  </si>
  <si>
    <t>BROS-C033(157)--8J-33</t>
  </si>
  <si>
    <t>BROS-C031(119)--5F-31</t>
  </si>
  <si>
    <t>BRS-C036(92)--60-36</t>
  </si>
  <si>
    <t>BROS-3800(602)--5F-37</t>
  </si>
  <si>
    <t>BROS-C070(71)--8J-70</t>
  </si>
  <si>
    <t>$1,500,000 City HBP</t>
  </si>
  <si>
    <t>BRS-C051(72)--60-51</t>
  </si>
  <si>
    <t>$2M from CBCF (after letting: $413,002.20 State $ and balance federal CBCF)</t>
  </si>
  <si>
    <t>BROS-5772(606)--5F-20</t>
  </si>
  <si>
    <t>Funded by city HBP up to $1M</t>
  </si>
  <si>
    <t>BROS-C098(85)--5F-98</t>
  </si>
  <si>
    <t>**Split w/ Taylor County</t>
  </si>
  <si>
    <t>**Split w/ Ringgold County (Ringgold is Contracting Authority)</t>
  </si>
  <si>
    <t>$177,515 from CHBP</t>
  </si>
  <si>
    <t>BROS-C028(104)--5F-28</t>
  </si>
  <si>
    <t>BROS-C092(125)--8J-92</t>
  </si>
  <si>
    <t>BROS-C091(140)--8J-91</t>
  </si>
  <si>
    <t>Funded w/ County local and SwapM - Final total project cost = $234,748.86, 80% from SwapM = $187,799.09, 20% local match</t>
  </si>
  <si>
    <t>BROS-C006(123)--8J-06</t>
  </si>
  <si>
    <t>BRS-6040(601)--60-08</t>
  </si>
  <si>
    <t>BROS-C075(161)--5F-75</t>
  </si>
  <si>
    <t>BROS-4865(605)--5F-85</t>
  </si>
  <si>
    <t>BRS-C007(173)--60-07</t>
  </si>
  <si>
    <t xml:space="preserve">FM Supplement transfer made in October of 2024 was FFY24 Monies for the 25 program.  </t>
  </si>
  <si>
    <t>FFY2024
(Actual)</t>
  </si>
  <si>
    <t>Highway Bridge Program (HBP) - FFY 2025</t>
  </si>
  <si>
    <t>Actual
FFY2024
Ending Balance</t>
  </si>
  <si>
    <t>Estimated FFY2025 Beginning Balance</t>
  </si>
  <si>
    <t>Let Amounts November 2024 - October 2025</t>
  </si>
  <si>
    <t>November 2025</t>
  </si>
  <si>
    <t>December 2025</t>
  </si>
  <si>
    <t>Estimated FFY2025
Ending
Balance Before Reallocations</t>
  </si>
  <si>
    <t>Amount to be reallocated at end of FFY 2025 (if not spent by then)</t>
  </si>
  <si>
    <t>FY2025 Allocation to Counties Not Losing Money</t>
  </si>
  <si>
    <t>Highway Bridge Program (HBP) Funding - FFY 2025</t>
  </si>
  <si>
    <t>FFY'25</t>
  </si>
  <si>
    <t>FFY2025
After Reallocations (FINAL)</t>
  </si>
  <si>
    <t>Actual
FFY2025
Ending
Balance After Reallocations</t>
  </si>
  <si>
    <t>BROS-C004(105)--5F-04</t>
  </si>
  <si>
    <t>BROS-C023(130)--5F-23</t>
  </si>
  <si>
    <t>BROS-C033(156)--8J-33</t>
  </si>
  <si>
    <t>BROS-C045(98)--8J-45</t>
  </si>
  <si>
    <t>CHBP = $218,480.  Bundle includes: BRS-CHBP-C061(125)--GB-61 and Warren County BRS-CHBP-C091(133)--GB-91 and BROSCHBP-C091(134)--NC-91</t>
  </si>
  <si>
    <t>CHBP = $382,340</t>
  </si>
  <si>
    <t>CHBP = $955,850.  Bundle includes: BRS-CHBP-C061(125)--GB-61 and Warren County BRS-CHBP-C091(133)--GB-91 and BROSCHBP-C091(134)--NC-91</t>
  </si>
  <si>
    <t>CHBP = $218,480 - FMIS document correct.  Bundled with C039(93).</t>
  </si>
  <si>
    <t>CHBP = 396,721.  FMIS document correct. Bundled with C015(71).</t>
  </si>
  <si>
    <t>CHBP = $218,480.  FMIS document correct.  Bundled with C055(176) and C013(98)</t>
  </si>
  <si>
    <t>CHBP = $218,480.  FMIS document correct.  Bundled with C055(189) and C013(98)</t>
  </si>
  <si>
    <t>CHBP = $300,410.  FMIS document correct.  Bundled with C055(176) and C055(189)</t>
  </si>
  <si>
    <t>CHBP Funding.  FMIS document correct.  Bundled with C038(114)</t>
  </si>
  <si>
    <t>CHBP = $245,790. FMIS document correct.  Bundled with C064(134).</t>
  </si>
  <si>
    <t>BRS-C050(132)--60-50</t>
  </si>
  <si>
    <t>BROS-C022(103)--8J-22</t>
  </si>
  <si>
    <t>BROS-C015(82)--5F-15</t>
  </si>
  <si>
    <t>BROS-C015(81)--8J-15</t>
  </si>
  <si>
    <t>BROS-C097(150)--8J-97</t>
  </si>
  <si>
    <t>BHOS-C028(105)--5N-28</t>
  </si>
  <si>
    <t>1//22/25</t>
  </si>
  <si>
    <t>BHS-C029(93)--63-29</t>
  </si>
  <si>
    <t>BHOS-C029(94)--5N-29</t>
  </si>
  <si>
    <t>BROS-C016(118)--8J-16</t>
  </si>
  <si>
    <t>BROS-C019(117)--8J-19</t>
  </si>
  <si>
    <t>BROS-C041(145)--8J-41</t>
  </si>
  <si>
    <t>BROS-C041(144)--8J-41</t>
  </si>
  <si>
    <t>BROS-C041(143)--5F-41</t>
  </si>
  <si>
    <t>BROS-C093(97)--8J-93</t>
  </si>
  <si>
    <t>BRS-C010(99)--60-10</t>
  </si>
  <si>
    <t>BHS-C012(131)--63-12</t>
  </si>
  <si>
    <t>BHS-C012(130)--63-12</t>
  </si>
  <si>
    <t>BHS-C012(129)--63-12</t>
  </si>
  <si>
    <t>BHS-C012(128)--63-12</t>
  </si>
  <si>
    <t>BROS-C018(94)--8J-18</t>
  </si>
  <si>
    <t>BRS-C019(118)--60-19</t>
  </si>
  <si>
    <t>BHS-C023(140)--63-23</t>
  </si>
  <si>
    <t>BRS-7927(602)--60-24</t>
  </si>
  <si>
    <t>BRS-C041(146)--60-41</t>
  </si>
  <si>
    <t>BRS-C050(148)--60-50</t>
  </si>
  <si>
    <t>BROS-5110(602)--8J-50</t>
  </si>
  <si>
    <t>BROS-C064(146)--8J-64</t>
  </si>
  <si>
    <t>BROS-C064(145)--8J-64</t>
  </si>
  <si>
    <t>Joint project with Tama County.  Full contract value = $332,734.14</t>
  </si>
  <si>
    <t>Joint project with Tama County.  Full contract value = $237,813.50</t>
  </si>
  <si>
    <t>Joint project with Marshall County.  Full contract value = $332,734.14</t>
  </si>
  <si>
    <t>Joint project with Marshall County.  Full contract value = $237,813.50</t>
  </si>
  <si>
    <t>BROS-C066(70)--8J-66</t>
  </si>
  <si>
    <t>BROS-C081(95)--5F-81</t>
  </si>
  <si>
    <t>BRS-C086(117)--60-86</t>
  </si>
  <si>
    <t>BROS-C086(116)--5F-86</t>
  </si>
  <si>
    <t>BROS-6012(602)--5F-97</t>
  </si>
  <si>
    <t>City bridge funds only up to $1.5M</t>
  </si>
  <si>
    <t>Split w/ Tama County</t>
  </si>
  <si>
    <t>2 projects split w/ Marshall County</t>
  </si>
  <si>
    <t>BROS-C013(107)--5F-13</t>
  </si>
  <si>
    <t>BROS-C014(173)--8J-14</t>
  </si>
  <si>
    <t>BROS-C014(172)--8J-14</t>
  </si>
  <si>
    <t>BRS-C037(86)--60-37</t>
  </si>
  <si>
    <t>BROS-C046(90)--8J-46</t>
  </si>
  <si>
    <t>BROS-C046(88)--8J-46</t>
  </si>
  <si>
    <t>BROS-C085(162)--5F-85</t>
  </si>
  <si>
    <t>SBRFM-3772(601)--5D-96</t>
  </si>
  <si>
    <t>BRS-C097(151)--60-97</t>
  </si>
  <si>
    <t>BROS-C099(105)--5F-99</t>
  </si>
  <si>
    <r>
      <t>100%</t>
    </r>
    <r>
      <rPr>
        <u/>
        <sz val="11"/>
        <color rgb="FF0070C0"/>
        <rFont val="Calibri"/>
        <family val="2"/>
        <scheme val="minor"/>
      </rPr>
      <t xml:space="preserve"> State</t>
    </r>
    <r>
      <rPr>
        <sz val="11"/>
        <color rgb="FF0070C0"/>
        <rFont val="Calibri"/>
        <family val="2"/>
        <scheme val="minor"/>
      </rPr>
      <t xml:space="preserve"> City Bridge Funds.  FM for priority 2.</t>
    </r>
  </si>
  <si>
    <t>City Bridge Funds up to $1.5M.  County FM as priority 2.</t>
  </si>
  <si>
    <t>Actual final payment differs from FMIS closure by $0.05.</t>
  </si>
  <si>
    <t>Note: FMIS closure document is off by $0.03.  Final cost there is $589,366.95.</t>
  </si>
  <si>
    <t>BROS-C006(124)--8J-06</t>
  </si>
  <si>
    <t>BROS-C064(143)--8J-64</t>
  </si>
  <si>
    <t>BROS-C099(106)--8J-99</t>
  </si>
  <si>
    <t>BHS-C030(71)--63-30</t>
  </si>
  <si>
    <t>BHOS-C030(70)--5N-30</t>
  </si>
  <si>
    <t>BROS-C049(93)--5F-49</t>
  </si>
  <si>
    <t>BRS-C053(96)--60-53</t>
  </si>
  <si>
    <t>BRS-C061(129)--60-61</t>
  </si>
  <si>
    <t>County Bridge Construction Fund</t>
  </si>
  <si>
    <t>BRS-C088(66)--60-88</t>
  </si>
  <si>
    <t>BROS-C088(67)--5F-88</t>
  </si>
  <si>
    <t>BROS-C015(85)--8J-15</t>
  </si>
  <si>
    <t>BROS-C061(132)--5F-61</t>
  </si>
  <si>
    <t>BRS-2642(601)--60-76</t>
  </si>
  <si>
    <t>Funded by City HBP up to $1.5M</t>
  </si>
  <si>
    <t>BROS-C079(68)--5F-79</t>
  </si>
  <si>
    <t>$1,500,000 in City Bridge Funding</t>
  </si>
  <si>
    <r>
      <rPr>
        <sz val="11"/>
        <color rgb="FF00B0F0"/>
        <rFont val="Calibri"/>
        <family val="2"/>
        <scheme val="minor"/>
      </rPr>
      <t>Joint with Carroll County</t>
    </r>
    <r>
      <rPr>
        <sz val="11"/>
        <color theme="1"/>
        <rFont val="Calibri"/>
        <family val="2"/>
        <scheme val="minor"/>
      </rPr>
      <t xml:space="preserve"> - $20,000 in NP costs for No Excuses Road Opening Bonus</t>
    </r>
  </si>
  <si>
    <r>
      <t xml:space="preserve">&lt; $67,423,744 approved by Commission + $11,223,466 STBG off-system bridge + 1/2 of </t>
    </r>
    <r>
      <rPr>
        <sz val="10"/>
        <color rgb="FF00B0F0"/>
        <rFont val="Arial"/>
        <family val="2"/>
      </rPr>
      <t>$7,564,848 Obligation Limited Sec. 152 Redistribution</t>
    </r>
  </si>
  <si>
    <t>FFY'25 Sec 152 Redist amount from US DOT/FHWA Notice N4510.901 REDISTRIBUTION OF CERTAIN AUTHORIZED FUNDS FOR FISCAL YEAR 2025</t>
  </si>
  <si>
    <t>^ Verified by Shawn Majors</t>
  </si>
  <si>
    <t>FFY2025
(Final)</t>
  </si>
  <si>
    <t>FFY 2025 Allocation Factor (0% SD/FO,      100% Poor)</t>
  </si>
  <si>
    <t>BROS-C060(128)--8J-60</t>
  </si>
  <si>
    <t>BROS-C092(130)--5F-92</t>
  </si>
  <si>
    <t>BROS-C006(129)--8J-06</t>
  </si>
  <si>
    <t>BROS-C006(125)--8J-06</t>
  </si>
  <si>
    <t>BROS-C042(114)--5F-42</t>
  </si>
  <si>
    <t>BROS-C081(78)--5F-81</t>
  </si>
  <si>
    <t>BROS-C090(107)--8J-90</t>
  </si>
  <si>
    <t>BROS-C098(88)--8J-98</t>
  </si>
  <si>
    <t>***Tied with (122) in contract.  Investigating FMIS closure of (121) and if they should be on the same closure document.</t>
  </si>
  <si>
    <t>Final project cost = $470,664.75 &amp; CHBP = $382,340</t>
  </si>
  <si>
    <t>Final project cost = $941,191.50 &amp; CHBP = $600,821</t>
  </si>
  <si>
    <t>Final project cost = $630,101.43 &amp; CHBP = $464,270.00</t>
  </si>
  <si>
    <t>BROS-C020(126)--5F-20</t>
  </si>
  <si>
    <t>BRS-C027(92)--60-27</t>
  </si>
  <si>
    <t>20% CBCF (State) = $319,990.12, 60% CBCF(FA) = $959,970.35, 20% County HBP match = $319,990.12</t>
  </si>
  <si>
    <t>BROS-C033(158)--8J-33</t>
  </si>
  <si>
    <t>BROS-C036(95)--8J-36</t>
  </si>
  <si>
    <t>BRS-C062(108)--60-62</t>
  </si>
  <si>
    <t>BRS-C087(76)--60-87</t>
  </si>
  <si>
    <t>BROS-C089(107)--8J-89</t>
  </si>
  <si>
    <t>BROS-C091(142)--5F-91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</si>
</sst>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8" formatCode="&quot;$&quot;#,##0.00_);[Red]\(&quot;$&quot;#,##0.00\)"/>
    <numFmt numFmtId="44" formatCode="_(&quot;$&quot;* #,##0.00_);_(&quot;$&quot;* \(#,##0.00\);_(&quot;$&quot;* &quot;-&quot;??_);_(@_)"/>
    <numFmt numFmtId="164" formatCode="0.00_);[Red]\(0.00\)"/>
    <numFmt numFmtId="165" formatCode="#,##0.000000000_);[Red]\(#,##0.000000000\)"/>
    <numFmt numFmtId="166" formatCode="&quot;$&quot;#,##0.00"/>
    <numFmt numFmtId="167" formatCode="0.00000000"/>
    <numFmt numFmtId="168" formatCode="[$-409]mmmm\ d\,\ yyyy;@"/>
    <numFmt numFmtId="169" formatCode="0.0%"/>
    <numFmt numFmtId="170" formatCode="0.000"/>
  </numFmts>
  <fonts count="44">
    <font>
      <sz val="11"/>
      <color theme="1"/>
      <name val="Calibri"/>
      <family val="2"/>
      <scheme val="minor"/>
    </font>
    <font>
      <sz val="8"/>
      <color indexed="8"/>
      <name val="Arial"/>
      <family val="2"/>
    </font>
    <font>
      <sz val="8"/>
      <name val="Arial"/>
      <family val="2"/>
    </font>
    <font>
      <sz val="8"/>
      <name val="Apple Chancery"/>
      <family val="4"/>
    </font>
    <font>
      <sz val="11"/>
      <color theme="1"/>
      <name val="Calibri"/>
      <family val="2"/>
      <scheme val="minor"/>
    </font>
    <font>
      <sz val="10"/>
      <color theme="1"/>
      <name val="Arial"/>
      <family val="2"/>
    </font>
    <font>
      <b/>
      <sz val="10"/>
      <color theme="1"/>
      <name val="Arial"/>
      <family val="2"/>
    </font>
    <font>
      <b/>
      <sz val="8"/>
      <color theme="1"/>
      <name val="Arial"/>
      <family val="2"/>
    </font>
    <font>
      <sz val="8"/>
      <color theme="1"/>
      <name val="Arial"/>
      <family val="2"/>
    </font>
    <font>
      <sz val="8"/>
      <color theme="1"/>
      <name val="Apple Chancery"/>
      <family val="4"/>
    </font>
    <font>
      <sz val="10"/>
      <color theme="1"/>
      <name val="Calibri"/>
      <family val="2"/>
      <scheme val="minor"/>
    </font>
    <font>
      <sz val="10"/>
      <name val="Arial"/>
      <family val="2"/>
    </font>
    <font>
      <sz val="8"/>
      <color theme="9" tint="-0.249977111117893"/>
      <name val="Arial"/>
      <family val="2"/>
    </font>
    <font>
      <sz val="10"/>
      <color rgb="FF7030A0"/>
      <name val="Arial"/>
      <family val="2"/>
    </font>
    <font>
      <sz val="11"/>
      <name val="Calibri"/>
      <family val="2"/>
      <scheme val="minor"/>
    </font>
    <font>
      <u/>
      <sz val="11"/>
      <color theme="10"/>
      <name val="Calibri"/>
      <family val="2"/>
      <scheme val="minor"/>
    </font>
    <font>
      <i/>
      <sz val="8"/>
      <name val="Arial"/>
      <family val="2"/>
    </font>
    <font>
      <sz val="8"/>
      <name val="Calibri"/>
      <family val="2"/>
      <scheme val="minor"/>
    </font>
    <font>
      <sz val="11"/>
      <color theme="9" tint="-0.249977111117893"/>
      <name val="Calibri"/>
      <family val="2"/>
      <scheme val="minor"/>
    </font>
    <font>
      <strike/>
      <sz val="8"/>
      <name val="Arial"/>
      <family val="2"/>
    </font>
    <font>
      <sz val="8"/>
      <color rgb="FF00B0F0"/>
      <name val="Arial"/>
      <family val="2"/>
    </font>
    <font>
      <b/>
      <sz val="8"/>
      <name val="Arial"/>
      <family val="2"/>
    </font>
    <font>
      <b/>
      <sz val="10"/>
      <name val="Arial"/>
      <family val="2"/>
    </font>
    <font>
      <sz val="11"/>
      <color theme="7" tint="-0.249977111117893"/>
      <name val="Calibri"/>
      <family val="2"/>
      <scheme val="minor"/>
    </font>
    <font>
      <i/>
      <sz val="11"/>
      <color theme="1"/>
      <name val="Calibri"/>
      <family val="2"/>
      <scheme val="minor"/>
    </font>
    <font>
      <b/>
      <sz val="11"/>
      <color theme="1"/>
      <name val="Calibri"/>
      <family val="2"/>
      <scheme val="minor"/>
    </font>
    <font>
      <sz val="11"/>
      <color rgb="FFFF0000"/>
      <name val="Calibri"/>
      <family val="2"/>
      <scheme val="minor"/>
    </font>
    <font>
      <sz val="8"/>
      <color theme="1"/>
      <name val="Calibri"/>
      <family val="2"/>
      <scheme val="minor"/>
    </font>
    <font>
      <b/>
      <sz val="8"/>
      <color theme="0" tint="-0.499984740745262"/>
      <name val="Arial"/>
      <family val="2"/>
    </font>
    <font>
      <sz val="8"/>
      <color theme="0" tint="-0.499984740745262"/>
      <name val="Arial"/>
      <family val="2"/>
    </font>
    <font>
      <strike/>
      <sz val="8"/>
      <color rgb="FFFF0000"/>
      <name val="Arial"/>
      <family val="2"/>
    </font>
    <font>
      <strike/>
      <sz val="11"/>
      <color rgb="FFFF0000"/>
      <name val="Calibri"/>
      <family val="2"/>
      <scheme val="minor"/>
    </font>
    <font>
      <i/>
      <sz val="11"/>
      <name val="Calibri"/>
      <family val="2"/>
      <scheme val="minor"/>
    </font>
    <font>
      <sz val="10"/>
      <name val="Arial"/>
      <family val="2"/>
    </font>
    <font>
      <sz val="8"/>
      <color theme="8"/>
      <name val="Arial"/>
      <family val="2"/>
    </font>
    <font>
      <b/>
      <sz val="8"/>
      <color theme="8"/>
      <name val="Arial"/>
      <family val="2"/>
    </font>
    <font>
      <sz val="10"/>
      <name val="Arial"/>
    </font>
    <font>
      <sz val="8"/>
      <color theme="8" tint="-0.249977111117893"/>
      <name val="Arial"/>
      <family val="2"/>
    </font>
    <font>
      <sz val="11"/>
      <color theme="8" tint="-0.249977111117893"/>
      <name val="Calibri"/>
      <family val="2"/>
      <scheme val="minor"/>
    </font>
    <font>
      <sz val="10"/>
      <color rgb="FF00B0F0"/>
      <name val="Arial"/>
      <family val="2"/>
    </font>
    <font>
      <sz val="11"/>
      <color rgb="FF00B0F0"/>
      <name val="Calibri"/>
      <family val="2"/>
      <scheme val="minor"/>
    </font>
    <font>
      <sz val="8"/>
      <color rgb="FF0070C0"/>
      <name val="Arial"/>
      <family val="2"/>
    </font>
    <font>
      <sz val="11"/>
      <color rgb="FF0070C0"/>
      <name val="Calibri"/>
      <family val="2"/>
      <scheme val="minor"/>
    </font>
    <font>
      <u/>
      <sz val="11"/>
      <color rgb="FF0070C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66FFFF"/>
        <bgColor indexed="64"/>
      </patternFill>
    </fill>
    <fill>
      <patternFill patternType="solid">
        <fgColor rgb="FFFFFF00"/>
        <bgColor indexed="64"/>
      </patternFill>
    </fill>
    <fill>
      <patternFill patternType="solid">
        <fgColor theme="4" tint="0.79998168889431442"/>
        <bgColor indexed="64"/>
      </patternFill>
    </fill>
  </fills>
  <borders count="204">
    <border>
      <left/>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double">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thin">
        <color indexed="64"/>
      </top>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8"/>
      </left>
      <right/>
      <top/>
      <bottom/>
      <diagonal/>
    </border>
    <border>
      <left style="double">
        <color indexed="64"/>
      </left>
      <right style="double">
        <color indexed="8"/>
      </right>
      <top style="thin">
        <color indexed="64"/>
      </top>
      <bottom/>
      <diagonal/>
    </border>
    <border>
      <left style="double">
        <color indexed="8"/>
      </left>
      <right/>
      <top style="thin">
        <color indexed="64"/>
      </top>
      <bottom/>
      <diagonal/>
    </border>
    <border>
      <left/>
      <right style="double">
        <color indexed="8"/>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8"/>
      </left>
      <right style="double">
        <color indexed="8"/>
      </right>
      <top/>
      <bottom/>
      <diagonal/>
    </border>
    <border>
      <left style="double">
        <color indexed="8"/>
      </left>
      <right style="double">
        <color indexed="8"/>
      </right>
      <top/>
      <bottom style="thin">
        <color indexed="64"/>
      </bottom>
      <diagonal/>
    </border>
    <border>
      <left style="double">
        <color indexed="8"/>
      </left>
      <right style="double">
        <color indexed="8"/>
      </right>
      <top style="thin">
        <color indexed="64"/>
      </top>
      <bottom/>
      <diagonal/>
    </border>
    <border>
      <left style="double">
        <color indexed="64"/>
      </left>
      <right style="double">
        <color indexed="8"/>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double">
        <color indexed="64"/>
      </bottom>
      <diagonal/>
    </border>
    <border>
      <left/>
      <right style="medium">
        <color indexed="64"/>
      </right>
      <top style="thin">
        <color auto="1"/>
      </top>
      <bottom/>
      <diagonal/>
    </border>
    <border>
      <left style="medium">
        <color indexed="64"/>
      </left>
      <right style="thin">
        <color auto="1"/>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style="medium">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medium">
        <color indexed="64"/>
      </right>
      <top style="thin">
        <color theme="1"/>
      </top>
      <bottom style="thin">
        <color indexed="64"/>
      </bottom>
      <diagonal/>
    </border>
    <border>
      <left style="medium">
        <color indexed="64"/>
      </left>
      <right style="thin">
        <color theme="1"/>
      </right>
      <top/>
      <bottom/>
      <diagonal/>
    </border>
    <border>
      <left style="thin">
        <color theme="1"/>
      </left>
      <right style="thin">
        <color theme="1"/>
      </right>
      <top/>
      <bottom/>
      <diagonal/>
    </border>
    <border>
      <left style="thin">
        <color theme="1"/>
      </left>
      <right style="medium">
        <color indexed="64"/>
      </right>
      <top/>
      <bottom/>
      <diagonal/>
    </border>
    <border>
      <left style="medium">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right/>
      <top style="double">
        <color indexed="64"/>
      </top>
      <bottom/>
      <diagonal/>
    </border>
    <border>
      <left style="medium">
        <color indexed="64"/>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medium">
        <color indexed="64"/>
      </right>
      <top style="thin">
        <color indexed="64"/>
      </top>
      <bottom style="thin">
        <color indexed="64"/>
      </bottom>
      <diagonal/>
    </border>
    <border>
      <left style="medium">
        <color indexed="64"/>
      </left>
      <right style="thin">
        <color theme="1"/>
      </right>
      <top style="thin">
        <color indexed="64"/>
      </top>
      <bottom style="thin">
        <color theme="1"/>
      </bottom>
      <diagonal/>
    </border>
    <border>
      <left style="thin">
        <color theme="1"/>
      </left>
      <right style="thin">
        <color theme="1"/>
      </right>
      <top style="thin">
        <color indexed="64"/>
      </top>
      <bottom style="thin">
        <color theme="1"/>
      </bottom>
      <diagonal/>
    </border>
    <border>
      <left style="thin">
        <color theme="1"/>
      </left>
      <right style="medium">
        <color indexed="64"/>
      </right>
      <top style="thin">
        <color indexed="64"/>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medium">
        <color indexed="64"/>
      </right>
      <top style="thin">
        <color theme="1"/>
      </top>
      <bottom style="thin">
        <color indexed="64"/>
      </bottom>
      <diagonal/>
    </border>
    <border>
      <left style="medium">
        <color indexed="64"/>
      </left>
      <right style="thin">
        <color theme="1"/>
      </right>
      <top style="thin">
        <color indexed="64"/>
      </top>
      <bottom/>
      <diagonal/>
    </border>
    <border>
      <left style="medium">
        <color indexed="64"/>
      </left>
      <right style="thin">
        <color theme="1"/>
      </right>
      <top style="medium">
        <color indexed="64"/>
      </top>
      <bottom/>
      <diagonal/>
    </border>
    <border>
      <left style="medium">
        <color indexed="64"/>
      </left>
      <right style="thin">
        <color theme="1"/>
      </right>
      <top/>
      <bottom style="thin">
        <color theme="1"/>
      </bottom>
      <diagonal/>
    </border>
    <border>
      <left style="double">
        <color indexed="64"/>
      </left>
      <right style="double">
        <color indexed="64"/>
      </right>
      <top/>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theme="1"/>
      </left>
      <right style="medium">
        <color indexed="64"/>
      </right>
      <top style="thin">
        <color theme="1"/>
      </top>
      <bottom style="thin">
        <color theme="1"/>
      </bottom>
      <diagonal/>
    </border>
    <border>
      <left style="double">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theme="1"/>
      </right>
      <top style="thin">
        <color theme="1"/>
      </top>
      <bottom/>
      <diagonal/>
    </border>
    <border>
      <left style="thin">
        <color theme="1"/>
      </left>
      <right style="thin">
        <color theme="1"/>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style="double">
        <color indexed="64"/>
      </left>
      <right style="double">
        <color indexed="64"/>
      </right>
      <top/>
      <bottom style="double">
        <color indexed="64"/>
      </bottom>
      <diagonal/>
    </border>
    <border>
      <left style="thin">
        <color theme="1"/>
      </left>
      <right/>
      <top style="medium">
        <color indexed="64"/>
      </top>
      <bottom style="thin">
        <color theme="1"/>
      </bottom>
      <diagonal/>
    </border>
    <border>
      <left style="thin">
        <color theme="1"/>
      </left>
      <right/>
      <top style="thin">
        <color theme="1"/>
      </top>
      <bottom style="thin">
        <color indexed="64"/>
      </bottom>
      <diagonal/>
    </border>
    <border>
      <left style="thin">
        <color theme="1"/>
      </left>
      <right/>
      <top style="thin">
        <color theme="1"/>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theme="1"/>
      </bottom>
      <diagonal/>
    </border>
    <border>
      <left style="thin">
        <color indexed="64"/>
      </left>
      <right style="medium">
        <color indexed="64"/>
      </right>
      <top style="thin">
        <color theme="1"/>
      </top>
      <bottom style="medium">
        <color indexed="64"/>
      </bottom>
      <diagonal/>
    </border>
    <border>
      <left style="mediumDashed">
        <color indexed="64"/>
      </left>
      <right style="thin">
        <color indexed="64"/>
      </right>
      <top/>
      <bottom/>
      <diagonal/>
    </border>
    <border>
      <left style="mediumDashed">
        <color indexed="64"/>
      </left>
      <right style="thin">
        <color indexed="64"/>
      </right>
      <top style="medium">
        <color indexed="64"/>
      </top>
      <bottom style="thin">
        <color theme="1"/>
      </bottom>
      <diagonal/>
    </border>
    <border>
      <left style="mediumDashed">
        <color indexed="64"/>
      </left>
      <right style="thin">
        <color indexed="64"/>
      </right>
      <top style="thin">
        <color theme="1"/>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style="thin">
        <color indexed="64"/>
      </top>
      <bottom style="thin">
        <color theme="1"/>
      </bottom>
      <diagonal/>
    </border>
    <border>
      <left style="mediumDashed">
        <color indexed="64"/>
      </left>
      <right style="thin">
        <color indexed="64"/>
      </right>
      <top style="thin">
        <color theme="1"/>
      </top>
      <bottom style="medium">
        <color indexed="64"/>
      </bottom>
      <diagonal/>
    </border>
    <border>
      <left style="mediumDashed">
        <color indexed="64"/>
      </left>
      <right style="thin">
        <color indexed="64"/>
      </right>
      <top style="medium">
        <color indexed="64"/>
      </top>
      <bottom/>
      <diagonal/>
    </border>
    <border>
      <left style="thin">
        <color theme="1"/>
      </left>
      <right/>
      <top style="thin">
        <color indexed="64"/>
      </top>
      <bottom style="thin">
        <color indexed="64"/>
      </bottom>
      <diagonal/>
    </border>
    <border>
      <left style="thin">
        <color theme="1"/>
      </left>
      <right/>
      <top style="thin">
        <color indexed="64"/>
      </top>
      <bottom style="thin">
        <color theme="1"/>
      </bottom>
      <diagonal/>
    </border>
    <border>
      <left style="mediumDashed">
        <color indexed="64"/>
      </left>
      <right/>
      <top style="medium">
        <color indexed="64"/>
      </top>
      <bottom/>
      <diagonal/>
    </border>
    <border>
      <left/>
      <right style="mediumDashed">
        <color indexed="64"/>
      </right>
      <top style="medium">
        <color indexed="64"/>
      </top>
      <bottom/>
      <diagonal/>
    </border>
    <border>
      <left style="thin">
        <color indexed="64"/>
      </left>
      <right style="mediumDashed">
        <color indexed="64"/>
      </right>
      <top/>
      <bottom/>
      <diagonal/>
    </border>
    <border>
      <left style="mediumDashed">
        <color indexed="64"/>
      </left>
      <right style="thin">
        <color theme="1"/>
      </right>
      <top style="medium">
        <color indexed="64"/>
      </top>
      <bottom style="thin">
        <color theme="1"/>
      </bottom>
      <diagonal/>
    </border>
    <border>
      <left style="thin">
        <color theme="1"/>
      </left>
      <right style="mediumDashed">
        <color indexed="64"/>
      </right>
      <top style="medium">
        <color indexed="64"/>
      </top>
      <bottom style="thin">
        <color theme="1"/>
      </bottom>
      <diagonal/>
    </border>
    <border>
      <left style="mediumDashed">
        <color indexed="64"/>
      </left>
      <right style="thin">
        <color theme="1"/>
      </right>
      <top style="thin">
        <color theme="1"/>
      </top>
      <bottom style="thin">
        <color indexed="64"/>
      </bottom>
      <diagonal/>
    </border>
    <border>
      <left style="thin">
        <color theme="1"/>
      </left>
      <right style="mediumDashed">
        <color indexed="64"/>
      </right>
      <top style="thin">
        <color theme="1"/>
      </top>
      <bottom style="thin">
        <color indexed="64"/>
      </bottom>
      <diagonal/>
    </border>
    <border>
      <left style="mediumDashed">
        <color indexed="64"/>
      </left>
      <right style="thin">
        <color theme="1"/>
      </right>
      <top style="thin">
        <color indexed="64"/>
      </top>
      <bottom style="thin">
        <color indexed="64"/>
      </bottom>
      <diagonal/>
    </border>
    <border>
      <left style="mediumDashed">
        <color indexed="64"/>
      </left>
      <right style="thin">
        <color theme="1"/>
      </right>
      <top style="thin">
        <color indexed="64"/>
      </top>
      <bottom style="thin">
        <color theme="1"/>
      </bottom>
      <diagonal/>
    </border>
    <border>
      <left style="mediumDashed">
        <color indexed="64"/>
      </left>
      <right style="thin">
        <color theme="1"/>
      </right>
      <top style="thin">
        <color theme="1"/>
      </top>
      <bottom style="medium">
        <color indexed="64"/>
      </bottom>
      <diagonal/>
    </border>
    <border>
      <left style="thin">
        <color theme="1"/>
      </left>
      <right style="mediumDashed">
        <color indexed="64"/>
      </right>
      <top style="thin">
        <color theme="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Dashed">
        <color indexed="64"/>
      </right>
      <top/>
      <bottom style="medium">
        <color indexed="64"/>
      </bottom>
      <diagonal/>
    </border>
    <border>
      <left style="thin">
        <color theme="1"/>
      </left>
      <right/>
      <top/>
      <bottom/>
      <diagonal/>
    </border>
    <border>
      <left/>
      <right style="thin">
        <color theme="1"/>
      </right>
      <top style="medium">
        <color indexed="64"/>
      </top>
      <bottom style="thin">
        <color theme="1"/>
      </bottom>
      <diagonal/>
    </border>
    <border>
      <left/>
      <right style="thin">
        <color theme="1"/>
      </right>
      <top/>
      <bottom/>
      <diagonal/>
    </border>
    <border>
      <left/>
      <right style="thin">
        <color theme="1"/>
      </right>
      <top style="thin">
        <color theme="1"/>
      </top>
      <bottom style="medium">
        <color indexed="64"/>
      </bottom>
      <diagonal/>
    </border>
    <border>
      <left style="mediumDashed">
        <color indexed="64"/>
      </left>
      <right style="thin">
        <color theme="1"/>
      </right>
      <top/>
      <bottom/>
      <diagonal/>
    </border>
    <border>
      <left style="thin">
        <color theme="1"/>
      </left>
      <right style="mediumDashed">
        <color indexed="64"/>
      </right>
      <top/>
      <bottom/>
      <diagonal/>
    </border>
    <border>
      <left/>
      <right style="thin">
        <color theme="1"/>
      </right>
      <top style="thin">
        <color theme="1"/>
      </top>
      <bottom style="thin">
        <color indexed="64"/>
      </bottom>
      <diagonal/>
    </border>
    <border>
      <left style="thin">
        <color theme="1"/>
      </left>
      <right style="mediumDashed">
        <color indexed="64"/>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mediumDashed">
        <color indexed="64"/>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thin">
        <color indexed="64"/>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style="thin">
        <color indexed="64"/>
      </top>
      <bottom style="thin">
        <color theme="1"/>
      </bottom>
      <diagonal/>
    </border>
    <border>
      <left style="mediumDashed">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Dashed">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Dashed">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theme="1"/>
      </left>
      <right/>
      <top/>
      <bottom style="thin">
        <color indexed="64"/>
      </bottom>
      <diagonal/>
    </border>
    <border>
      <left/>
      <right style="thin">
        <color theme="1"/>
      </right>
      <top/>
      <bottom style="thin">
        <color indexed="64"/>
      </bottom>
      <diagonal/>
    </border>
    <border>
      <left style="mediumDashed">
        <color indexed="64"/>
      </left>
      <right style="thin">
        <color theme="1"/>
      </right>
      <top/>
      <bottom style="thin">
        <color indexed="64"/>
      </bottom>
      <diagonal/>
    </border>
    <border>
      <left style="medium">
        <color indexed="64"/>
      </left>
      <right style="medium">
        <color indexed="64"/>
      </right>
      <top style="medium">
        <color indexed="64"/>
      </top>
      <bottom style="medium">
        <color indexed="64"/>
      </bottom>
      <diagonal/>
    </border>
    <border>
      <left style="thin">
        <color theme="1"/>
      </left>
      <right style="mediumDashed">
        <color indexed="64"/>
      </right>
      <top style="thin">
        <color theme="1"/>
      </top>
      <bottom/>
      <diagonal/>
    </border>
    <border>
      <left style="thin">
        <color theme="1"/>
      </left>
      <right style="medium">
        <color indexed="64"/>
      </right>
      <top style="thin">
        <color theme="1"/>
      </top>
      <bottom/>
      <diagonal/>
    </border>
    <border>
      <left style="thin">
        <color theme="1"/>
      </left>
      <right style="mediumDashed">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mediumDashed">
        <color indexed="64"/>
      </right>
      <top style="thin">
        <color theme="1"/>
      </top>
      <bottom style="thin">
        <color indexed="64"/>
      </bottom>
      <diagonal/>
    </border>
    <border>
      <left style="thin">
        <color theme="1"/>
      </left>
      <right/>
      <top/>
      <bottom style="medium">
        <color indexed="64"/>
      </bottom>
      <diagonal/>
    </border>
    <border>
      <left/>
      <right style="thin">
        <color theme="1"/>
      </right>
      <top/>
      <bottom style="medium">
        <color indexed="64"/>
      </bottom>
      <diagonal/>
    </border>
    <border>
      <left style="mediumDashed">
        <color indexed="64"/>
      </left>
      <right style="thin">
        <color theme="1"/>
      </right>
      <top/>
      <bottom style="medium">
        <color indexed="64"/>
      </bottom>
      <diagonal/>
    </border>
    <border>
      <left style="thin">
        <color theme="1"/>
      </left>
      <right style="mediumDashed">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Dashed">
        <color indexed="64"/>
      </left>
      <right style="thin">
        <color indexed="64"/>
      </right>
      <top style="medium">
        <color indexed="64"/>
      </top>
      <bottom style="thin">
        <color indexed="64"/>
      </bottom>
      <diagonal/>
    </border>
    <border>
      <left style="thin">
        <color indexed="64"/>
      </left>
      <right style="mediumDashed">
        <color indexed="64"/>
      </right>
      <top style="medium">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Dashed">
        <color indexed="64"/>
      </right>
      <top style="thin">
        <color indexed="64"/>
      </top>
      <bottom style="medium">
        <color indexed="64"/>
      </bottom>
      <diagonal/>
    </border>
    <border>
      <left style="thin">
        <color theme="1"/>
      </left>
      <right/>
      <top style="thin">
        <color indexed="64"/>
      </top>
      <bottom/>
      <diagonal/>
    </border>
    <border>
      <left/>
      <right style="thin">
        <color theme="1"/>
      </right>
      <top style="thin">
        <color indexed="64"/>
      </top>
      <bottom/>
      <diagonal/>
    </border>
    <border>
      <left style="mediumDashed">
        <color indexed="64"/>
      </left>
      <right style="thin">
        <color theme="1"/>
      </right>
      <top style="thin">
        <color indexed="64"/>
      </top>
      <bottom/>
      <diagonal/>
    </border>
    <border>
      <left style="thin">
        <color theme="1"/>
      </left>
      <right/>
      <top style="thin">
        <color theme="1"/>
      </top>
      <bottom style="thin">
        <color theme="1"/>
      </bottom>
      <diagonal/>
    </border>
    <border>
      <left style="thin">
        <color indexed="64"/>
      </left>
      <right style="mediumDashed">
        <color indexed="64"/>
      </right>
      <top style="thin">
        <color indexed="64"/>
      </top>
      <bottom style="thin">
        <color theme="1"/>
      </bottom>
      <diagonal/>
    </border>
    <border>
      <left/>
      <right/>
      <top style="thin">
        <color indexed="64"/>
      </top>
      <bottom style="double">
        <color indexed="64"/>
      </bottom>
      <diagonal/>
    </border>
    <border>
      <left/>
      <right style="thin">
        <color indexed="64"/>
      </right>
      <top style="medium">
        <color indexed="64"/>
      </top>
      <bottom/>
      <diagonal/>
    </border>
    <border>
      <left/>
      <right style="thin">
        <color indexed="64"/>
      </right>
      <top style="medium">
        <color indexed="64"/>
      </top>
      <bottom style="thin">
        <color theme="1"/>
      </bottom>
      <diagonal/>
    </border>
    <border>
      <left/>
      <right style="thin">
        <color indexed="64"/>
      </right>
      <top style="thin">
        <color theme="1"/>
      </top>
      <bottom style="medium">
        <color indexed="64"/>
      </bottom>
      <diagonal/>
    </border>
    <border>
      <left style="thin">
        <color indexed="64"/>
      </left>
      <right style="mediumDashed">
        <color indexed="64"/>
      </right>
      <top style="medium">
        <color indexed="64"/>
      </top>
      <bottom style="thin">
        <color theme="1"/>
      </bottom>
      <diagonal/>
    </border>
    <border>
      <left style="thin">
        <color indexed="64"/>
      </left>
      <right style="mediumDashed">
        <color indexed="64"/>
      </right>
      <top style="thin">
        <color theme="1"/>
      </top>
      <bottom style="medium">
        <color indexed="64"/>
      </bottom>
      <diagonal/>
    </border>
    <border>
      <left style="mediumDashed">
        <color indexed="64"/>
      </left>
      <right style="thin">
        <color theme="1"/>
      </right>
      <top style="thin">
        <color indexed="64"/>
      </top>
      <bottom style="medium">
        <color indexed="64"/>
      </bottom>
      <diagonal/>
    </border>
    <border>
      <left style="thin">
        <color theme="1"/>
      </left>
      <right style="mediumDashed">
        <color indexed="64"/>
      </right>
      <top style="thin">
        <color indexed="64"/>
      </top>
      <bottom style="medium">
        <color indexed="64"/>
      </bottom>
      <diagonal/>
    </border>
  </borders>
  <cellStyleXfs count="11">
    <xf numFmtId="0" fontId="0" fillId="0" borderId="0"/>
    <xf numFmtId="44" fontId="4" fillId="0" borderId="0" applyFont="0" applyFill="0" applyBorder="0" applyAlignment="0" applyProtection="0"/>
    <xf numFmtId="0" fontId="4" fillId="0" borderId="0"/>
    <xf numFmtId="0" fontId="15" fillId="0" borderId="0" applyNumberFormat="0" applyFill="0" applyBorder="0" applyAlignment="0" applyProtection="0"/>
    <xf numFmtId="0" fontId="33" fillId="0" borderId="0"/>
    <xf numFmtId="0" fontId="11" fillId="0" borderId="0"/>
    <xf numFmtId="9" fontId="11" fillId="0" borderId="0" applyFont="0" applyFill="0" applyBorder="0" applyAlignment="0" applyProtection="0"/>
    <xf numFmtId="0" fontId="11" fillId="0" borderId="0"/>
    <xf numFmtId="0" fontId="36" fillId="0" borderId="0"/>
    <xf numFmtId="0" fontId="11" fillId="0" borderId="0"/>
    <xf numFmtId="0" fontId="11" fillId="0" borderId="0"/>
  </cellStyleXfs>
  <cellXfs count="990">
    <xf numFmtId="0" fontId="0" fillId="0" borderId="0" xfId="0"/>
    <xf numFmtId="0" fontId="6" fillId="0" borderId="0" xfId="0" applyFont="1" applyAlignment="1"/>
    <xf numFmtId="0" fontId="5" fillId="0" borderId="0" xfId="0" applyFont="1" applyAlignment="1">
      <alignment vertical="center"/>
    </xf>
    <xf numFmtId="0" fontId="6" fillId="0" borderId="0" xfId="0" applyFont="1" applyAlignment="1">
      <alignment horizontal="left"/>
    </xf>
    <xf numFmtId="0" fontId="0" fillId="0" borderId="0" xfId="0" applyAlignment="1">
      <alignment horizontal="left"/>
    </xf>
    <xf numFmtId="5" fontId="8" fillId="0" borderId="0" xfId="0" applyNumberFormat="1" applyFont="1" applyProtection="1"/>
    <xf numFmtId="37" fontId="8" fillId="0" borderId="3" xfId="0" applyNumberFormat="1" applyFont="1" applyBorder="1" applyAlignment="1" applyProtection="1">
      <alignment horizontal="center"/>
    </xf>
    <xf numFmtId="5" fontId="8" fillId="0" borderId="0" xfId="0" applyNumberFormat="1" applyFont="1" applyBorder="1" applyProtection="1"/>
    <xf numFmtId="5" fontId="2" fillId="0" borderId="0" xfId="0" applyNumberFormat="1" applyFont="1" applyBorder="1" applyProtection="1"/>
    <xf numFmtId="8" fontId="11" fillId="0" borderId="0" xfId="0" applyNumberFormat="1" applyFont="1" applyAlignment="1">
      <alignment horizontal="left"/>
    </xf>
    <xf numFmtId="5" fontId="8" fillId="0" borderId="0" xfId="0" applyNumberFormat="1" applyFont="1" applyFill="1" applyBorder="1" applyProtection="1"/>
    <xf numFmtId="37" fontId="8" fillId="0" borderId="3" xfId="0" applyNumberFormat="1" applyFont="1" applyFill="1" applyBorder="1" applyAlignment="1" applyProtection="1">
      <alignment horizontal="center"/>
    </xf>
    <xf numFmtId="5" fontId="2" fillId="0" borderId="0" xfId="0" applyNumberFormat="1" applyFont="1" applyFill="1" applyBorder="1" applyProtection="1"/>
    <xf numFmtId="5" fontId="8" fillId="0" borderId="10" xfId="0" applyNumberFormat="1" applyFont="1" applyBorder="1" applyProtection="1"/>
    <xf numFmtId="37" fontId="8" fillId="0" borderId="43" xfId="0" applyNumberFormat="1" applyFont="1" applyBorder="1" applyAlignment="1" applyProtection="1">
      <alignment horizontal="center"/>
    </xf>
    <xf numFmtId="0" fontId="0" fillId="0" borderId="10" xfId="0" applyBorder="1"/>
    <xf numFmtId="5" fontId="2" fillId="0" borderId="10" xfId="0" applyNumberFormat="1" applyFont="1" applyBorder="1" applyProtection="1"/>
    <xf numFmtId="0" fontId="8" fillId="0" borderId="0" xfId="0" applyFont="1"/>
    <xf numFmtId="44" fontId="8" fillId="0" borderId="0" xfId="1" applyFont="1"/>
    <xf numFmtId="44" fontId="0" fillId="0" borderId="0" xfId="1" applyFont="1"/>
    <xf numFmtId="166" fontId="8" fillId="0" borderId="0" xfId="1" applyNumberFormat="1" applyFont="1"/>
    <xf numFmtId="166" fontId="0" fillId="0" borderId="0" xfId="1" applyNumberFormat="1" applyFont="1"/>
    <xf numFmtId="166" fontId="0" fillId="0" borderId="0" xfId="0" applyNumberFormat="1"/>
    <xf numFmtId="166" fontId="7" fillId="0" borderId="46" xfId="0" applyNumberFormat="1" applyFont="1" applyBorder="1"/>
    <xf numFmtId="0" fontId="7" fillId="0" borderId="44" xfId="0" applyFont="1" applyBorder="1"/>
    <xf numFmtId="0" fontId="8" fillId="0" borderId="45" xfId="0" applyFont="1" applyBorder="1" applyAlignment="1">
      <alignment horizontal="center" wrapText="1"/>
    </xf>
    <xf numFmtId="0" fontId="13" fillId="0" borderId="0" xfId="2" applyFont="1"/>
    <xf numFmtId="0" fontId="2" fillId="0" borderId="0" xfId="0" applyFont="1"/>
    <xf numFmtId="44" fontId="2" fillId="0" borderId="0" xfId="1" applyFont="1"/>
    <xf numFmtId="0" fontId="14" fillId="0" borderId="0" xfId="0" applyFont="1"/>
    <xf numFmtId="0" fontId="5" fillId="0" borderId="0" xfId="0" applyFont="1"/>
    <xf numFmtId="166" fontId="8" fillId="0" borderId="0" xfId="0" applyNumberFormat="1" applyFont="1"/>
    <xf numFmtId="2" fontId="8" fillId="0" borderId="0" xfId="0" applyNumberFormat="1" applyFont="1"/>
    <xf numFmtId="4" fontId="8" fillId="0" borderId="0" xfId="0" applyNumberFormat="1" applyFont="1"/>
    <xf numFmtId="4" fontId="8" fillId="0" borderId="0" xfId="1" applyNumberFormat="1" applyFont="1"/>
    <xf numFmtId="8" fontId="7" fillId="0" borderId="14" xfId="0" applyNumberFormat="1" applyFont="1" applyBorder="1"/>
    <xf numFmtId="8" fontId="7" fillId="0" borderId="9" xfId="0" applyNumberFormat="1" applyFont="1" applyBorder="1" applyAlignment="1">
      <alignment horizontal="right" vertical="center"/>
    </xf>
    <xf numFmtId="8" fontId="7" fillId="0" borderId="17" xfId="0" applyNumberFormat="1" applyFont="1" applyBorder="1" applyAlignment="1">
      <alignment horizontal="right" vertical="center"/>
    </xf>
    <xf numFmtId="8" fontId="7" fillId="0" borderId="8" xfId="0" applyNumberFormat="1" applyFont="1" applyBorder="1" applyAlignment="1">
      <alignment horizontal="right" vertical="center"/>
    </xf>
    <xf numFmtId="166" fontId="7" fillId="0" borderId="17" xfId="0" applyNumberFormat="1" applyFont="1" applyBorder="1" applyAlignment="1">
      <alignment horizontal="right" vertical="center"/>
    </xf>
    <xf numFmtId="166" fontId="7" fillId="0" borderId="8" xfId="0" applyNumberFormat="1" applyFont="1" applyBorder="1" applyAlignment="1">
      <alignment horizontal="right" vertical="center"/>
    </xf>
    <xf numFmtId="8" fontId="7" fillId="0" borderId="14" xfId="0" applyNumberFormat="1" applyFont="1" applyBorder="1" applyAlignment="1">
      <alignment horizontal="right" vertical="center"/>
    </xf>
    <xf numFmtId="8" fontId="7" fillId="0" borderId="16" xfId="0" applyNumberFormat="1" applyFont="1" applyBorder="1" applyAlignment="1">
      <alignment horizontal="right" vertical="center"/>
    </xf>
    <xf numFmtId="4" fontId="7" fillId="0" borderId="17" xfId="1" applyNumberFormat="1" applyFont="1" applyBorder="1" applyAlignment="1">
      <alignment horizontal="right" vertical="center"/>
    </xf>
    <xf numFmtId="4" fontId="7" fillId="0" borderId="16" xfId="1" applyNumberFormat="1" applyFont="1" applyBorder="1" applyAlignment="1">
      <alignment horizontal="right" vertical="center"/>
    </xf>
    <xf numFmtId="0" fontId="8" fillId="0" borderId="3" xfId="0" applyFont="1" applyBorder="1" applyAlignment="1">
      <alignment horizontal="center"/>
    </xf>
    <xf numFmtId="37" fontId="8" fillId="0" borderId="6" xfId="0" applyNumberFormat="1" applyFont="1" applyBorder="1" applyAlignment="1">
      <alignment horizontal="center"/>
    </xf>
    <xf numFmtId="37" fontId="8" fillId="0" borderId="3" xfId="0" applyNumberFormat="1" applyFont="1" applyBorder="1" applyAlignment="1">
      <alignment horizontal="center"/>
    </xf>
    <xf numFmtId="0" fontId="5" fillId="0" borderId="0" xfId="0" applyFont="1" applyAlignment="1">
      <alignment horizontal="center" vertical="center"/>
    </xf>
    <xf numFmtId="44" fontId="8" fillId="0" borderId="40" xfId="1" applyFont="1" applyBorder="1" applyAlignment="1">
      <alignment horizontal="center" vertical="center"/>
    </xf>
    <xf numFmtId="49" fontId="8" fillId="0" borderId="12"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 xfId="0" applyNumberFormat="1" applyFont="1" applyBorder="1" applyAlignment="1">
      <alignment horizontal="center" vertical="center"/>
    </xf>
    <xf numFmtId="44" fontId="8" fillId="0" borderId="12" xfId="1" applyFont="1" applyBorder="1" applyAlignment="1">
      <alignment horizontal="center" vertical="center"/>
    </xf>
    <xf numFmtId="44" fontId="8" fillId="0" borderId="19" xfId="1" applyFont="1" applyBorder="1" applyAlignment="1">
      <alignment horizontal="center" vertical="center"/>
    </xf>
    <xf numFmtId="166" fontId="8" fillId="0" borderId="12" xfId="0" applyNumberFormat="1" applyFont="1" applyBorder="1" applyAlignment="1">
      <alignment horizontal="center" vertical="center"/>
    </xf>
    <xf numFmtId="166" fontId="8" fillId="0" borderId="11" xfId="0" applyNumberFormat="1" applyFont="1" applyBorder="1" applyAlignment="1">
      <alignment horizontal="center" vertical="center"/>
    </xf>
    <xf numFmtId="49" fontId="8" fillId="0" borderId="11" xfId="0" applyNumberFormat="1" applyFont="1" applyBorder="1" applyAlignment="1">
      <alignment horizontal="center" vertical="center"/>
    </xf>
    <xf numFmtId="166" fontId="8" fillId="0" borderId="1" xfId="0" applyNumberFormat="1" applyFont="1" applyBorder="1" applyAlignment="1">
      <alignment horizontal="center" vertical="center"/>
    </xf>
    <xf numFmtId="49" fontId="8" fillId="0" borderId="19" xfId="0" applyNumberFormat="1" applyFont="1" applyBorder="1" applyAlignment="1">
      <alignment horizontal="center" vertical="center"/>
    </xf>
    <xf numFmtId="4" fontId="8" fillId="0" borderId="12" xfId="1" applyNumberFormat="1" applyFont="1" applyBorder="1" applyAlignment="1">
      <alignment horizontal="center" vertical="center"/>
    </xf>
    <xf numFmtId="4" fontId="8" fillId="0" borderId="11" xfId="1" applyNumberFormat="1" applyFont="1" applyBorder="1" applyAlignment="1">
      <alignment horizontal="center" vertical="center"/>
    </xf>
    <xf numFmtId="0" fontId="5" fillId="0" borderId="0" xfId="0" applyFont="1" applyAlignment="1">
      <alignment horizontal="center" vertical="center" wrapText="1"/>
    </xf>
    <xf numFmtId="5" fontId="1" fillId="0" borderId="30" xfId="0" applyNumberFormat="1" applyFont="1" applyBorder="1" applyAlignment="1">
      <alignment vertical="center"/>
    </xf>
    <xf numFmtId="44" fontId="8" fillId="0" borderId="39" xfId="1" applyFont="1" applyBorder="1" applyAlignment="1">
      <alignment horizontal="center" vertical="center"/>
    </xf>
    <xf numFmtId="0" fontId="8" fillId="0" borderId="0" xfId="0" applyFont="1" applyAlignment="1">
      <alignment horizontal="center" vertical="center" wrapText="1"/>
    </xf>
    <xf numFmtId="44" fontId="8" fillId="0" borderId="0" xfId="1" applyFont="1" applyAlignment="1">
      <alignment horizontal="center" vertical="center"/>
    </xf>
    <xf numFmtId="4" fontId="7" fillId="0" borderId="0" xfId="1" applyNumberFormat="1" applyFont="1" applyAlignment="1">
      <alignment horizontal="center"/>
    </xf>
    <xf numFmtId="4" fontId="7" fillId="0" borderId="0" xfId="1" applyNumberFormat="1" applyFont="1" applyAlignment="1">
      <alignment horizontal="left"/>
    </xf>
    <xf numFmtId="44" fontId="2" fillId="2" borderId="47" xfId="1" applyFont="1" applyFill="1" applyBorder="1"/>
    <xf numFmtId="14" fontId="2" fillId="0" borderId="48" xfId="0" applyNumberFormat="1" applyFont="1" applyBorder="1" applyAlignment="1">
      <alignment horizontal="center"/>
    </xf>
    <xf numFmtId="0" fontId="2" fillId="0" borderId="49" xfId="2" applyFont="1" applyFill="1" applyBorder="1"/>
    <xf numFmtId="44" fontId="2" fillId="0" borderId="49" xfId="1" applyFont="1" applyBorder="1"/>
    <xf numFmtId="44" fontId="2" fillId="0" borderId="50" xfId="1" applyFont="1" applyBorder="1"/>
    <xf numFmtId="0" fontId="2" fillId="0" borderId="51" xfId="0" applyFont="1" applyBorder="1"/>
    <xf numFmtId="0" fontId="2" fillId="0" borderId="52" xfId="0" applyFont="1" applyBorder="1"/>
    <xf numFmtId="44" fontId="2" fillId="0" borderId="52" xfId="1" applyFont="1" applyBorder="1"/>
    <xf numFmtId="44" fontId="2" fillId="0" borderId="53" xfId="1" applyFont="1" applyBorder="1"/>
    <xf numFmtId="0" fontId="2" fillId="0" borderId="58" xfId="0" applyFont="1" applyBorder="1"/>
    <xf numFmtId="44" fontId="2" fillId="0" borderId="58" xfId="1" applyFont="1" applyBorder="1"/>
    <xf numFmtId="44" fontId="2" fillId="0" borderId="59" xfId="1" applyFont="1" applyBorder="1"/>
    <xf numFmtId="0" fontId="2" fillId="0" borderId="61" xfId="0" applyFont="1" applyBorder="1"/>
    <xf numFmtId="44" fontId="2" fillId="0" borderId="61" xfId="1" applyFont="1" applyBorder="1"/>
    <xf numFmtId="44" fontId="2" fillId="0" borderId="62" xfId="1" applyFont="1" applyBorder="1"/>
    <xf numFmtId="44" fontId="2" fillId="0" borderId="64" xfId="1" applyFont="1" applyBorder="1"/>
    <xf numFmtId="44" fontId="2" fillId="0" borderId="65" xfId="1" applyFont="1" applyBorder="1"/>
    <xf numFmtId="0" fontId="2" fillId="0" borderId="67" xfId="0" applyFont="1" applyBorder="1"/>
    <xf numFmtId="44" fontId="2" fillId="0" borderId="67" xfId="1" applyFont="1" applyBorder="1"/>
    <xf numFmtId="14" fontId="2" fillId="0" borderId="60" xfId="0" applyNumberFormat="1" applyFont="1" applyBorder="1" applyAlignment="1">
      <alignment horizontal="center"/>
    </xf>
    <xf numFmtId="0" fontId="2" fillId="0" borderId="66" xfId="0" applyFont="1" applyBorder="1" applyAlignment="1">
      <alignment horizontal="center"/>
    </xf>
    <xf numFmtId="0" fontId="2" fillId="0" borderId="57" xfId="0" applyFont="1" applyBorder="1" applyAlignment="1">
      <alignment horizontal="center"/>
    </xf>
    <xf numFmtId="14" fontId="2" fillId="0" borderId="63" xfId="0" applyNumberFormat="1" applyFont="1" applyBorder="1" applyAlignment="1">
      <alignment horizontal="center"/>
    </xf>
    <xf numFmtId="0" fontId="2" fillId="0" borderId="64" xfId="2" applyFont="1" applyFill="1" applyBorder="1"/>
    <xf numFmtId="14" fontId="2" fillId="3" borderId="48" xfId="0" applyNumberFormat="1" applyFont="1" applyFill="1" applyBorder="1" applyAlignment="1">
      <alignment horizontal="center"/>
    </xf>
    <xf numFmtId="0" fontId="2" fillId="3" borderId="49" xfId="2" applyFont="1" applyFill="1" applyBorder="1"/>
    <xf numFmtId="44" fontId="2" fillId="3" borderId="49" xfId="1" applyFont="1" applyFill="1" applyBorder="1"/>
    <xf numFmtId="44" fontId="2" fillId="3" borderId="50" xfId="1" applyFont="1" applyFill="1" applyBorder="1"/>
    <xf numFmtId="5" fontId="2" fillId="0" borderId="0" xfId="3" applyNumberFormat="1" applyFont="1"/>
    <xf numFmtId="5" fontId="2" fillId="0" borderId="1" xfId="3" applyNumberFormat="1" applyFont="1" applyBorder="1"/>
    <xf numFmtId="14" fontId="2" fillId="4" borderId="48" xfId="0" applyNumberFormat="1" applyFont="1" applyFill="1" applyBorder="1" applyAlignment="1">
      <alignment horizontal="center"/>
    </xf>
    <xf numFmtId="0" fontId="2" fillId="4" borderId="49" xfId="2" applyFont="1" applyFill="1" applyBorder="1"/>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166" fontId="2" fillId="0" borderId="49" xfId="1" applyNumberFormat="1" applyFont="1" applyBorder="1"/>
    <xf numFmtId="166" fontId="2" fillId="0" borderId="64" xfId="1" applyNumberFormat="1" applyFont="1" applyBorder="1"/>
    <xf numFmtId="166" fontId="2" fillId="0" borderId="52" xfId="1" applyNumberFormat="1" applyFont="1" applyBorder="1"/>
    <xf numFmtId="0" fontId="16" fillId="0" borderId="61" xfId="2" applyFont="1" applyFill="1" applyBorder="1"/>
    <xf numFmtId="14" fontId="16" fillId="0" borderId="60" xfId="0" applyNumberFormat="1" applyFont="1" applyBorder="1" applyAlignment="1">
      <alignment horizontal="center"/>
    </xf>
    <xf numFmtId="14" fontId="2" fillId="0" borderId="51" xfId="0" applyNumberFormat="1" applyFont="1" applyBorder="1" applyAlignment="1">
      <alignment horizontal="center"/>
    </xf>
    <xf numFmtId="14" fontId="2" fillId="0" borderId="69" xfId="0" applyNumberFormat="1" applyFont="1" applyBorder="1" applyAlignment="1">
      <alignment horizontal="center"/>
    </xf>
    <xf numFmtId="0" fontId="2" fillId="0" borderId="70" xfId="2" applyFont="1" applyFill="1" applyBorder="1"/>
    <xf numFmtId="166" fontId="2" fillId="0" borderId="61" xfId="1" applyNumberFormat="1" applyFont="1" applyBorder="1"/>
    <xf numFmtId="166" fontId="2" fillId="0" borderId="70" xfId="1" applyNumberFormat="1" applyFont="1" applyBorder="1"/>
    <xf numFmtId="2" fontId="8" fillId="0" borderId="0" xfId="1" applyNumberFormat="1" applyFont="1"/>
    <xf numFmtId="44" fontId="2" fillId="0" borderId="71" xfId="1" applyFont="1" applyBorder="1"/>
    <xf numFmtId="14" fontId="2" fillId="0" borderId="72" xfId="0" applyNumberFormat="1" applyFont="1" applyBorder="1" applyAlignment="1">
      <alignment horizontal="center"/>
    </xf>
    <xf numFmtId="0" fontId="2" fillId="0" borderId="73" xfId="2" applyFont="1" applyFill="1" applyBorder="1"/>
    <xf numFmtId="44" fontId="2" fillId="0" borderId="73" xfId="1" applyFont="1" applyBorder="1"/>
    <xf numFmtId="44" fontId="2" fillId="0" borderId="74" xfId="1" applyFont="1" applyBorder="1"/>
    <xf numFmtId="14" fontId="2" fillId="0" borderId="75" xfId="0" applyNumberFormat="1" applyFont="1" applyBorder="1" applyAlignment="1">
      <alignment horizontal="center"/>
    </xf>
    <xf numFmtId="0" fontId="2" fillId="0" borderId="76" xfId="2" applyFont="1" applyFill="1" applyBorder="1"/>
    <xf numFmtId="44" fontId="2" fillId="0" borderId="76" xfId="1" applyFont="1" applyBorder="1"/>
    <xf numFmtId="14" fontId="2" fillId="0" borderId="77" xfId="0" applyNumberFormat="1" applyFont="1" applyBorder="1" applyAlignment="1">
      <alignment horizontal="center"/>
    </xf>
    <xf numFmtId="0" fontId="2" fillId="0" borderId="78" xfId="2" applyFont="1" applyFill="1" applyBorder="1"/>
    <xf numFmtId="44" fontId="2" fillId="0" borderId="78" xfId="1" applyFont="1" applyBorder="1"/>
    <xf numFmtId="44" fontId="2" fillId="0" borderId="79" xfId="1" applyFont="1" applyBorder="1"/>
    <xf numFmtId="14" fontId="2" fillId="0" borderId="80" xfId="0" applyNumberFormat="1" applyFont="1" applyBorder="1" applyAlignment="1">
      <alignment horizontal="center"/>
    </xf>
    <xf numFmtId="0" fontId="2" fillId="0" borderId="81" xfId="2" applyFont="1" applyFill="1" applyBorder="1"/>
    <xf numFmtId="44" fontId="2" fillId="0" borderId="81" xfId="1" applyFont="1" applyBorder="1"/>
    <xf numFmtId="14" fontId="2" fillId="0" borderId="83" xfId="0" applyNumberFormat="1" applyFont="1" applyBorder="1" applyAlignment="1">
      <alignment horizontal="center"/>
    </xf>
    <xf numFmtId="0" fontId="0" fillId="0" borderId="1" xfId="0" applyBorder="1" applyAlignment="1">
      <alignment horizontal="center"/>
    </xf>
    <xf numFmtId="0" fontId="0" fillId="0" borderId="0" xfId="0" applyAlignment="1">
      <alignment horizontal="center"/>
    </xf>
    <xf numFmtId="166" fontId="0" fillId="0" borderId="0" xfId="0" applyNumberFormat="1" applyAlignment="1">
      <alignment horizontal="center"/>
    </xf>
    <xf numFmtId="0" fontId="0" fillId="0" borderId="0" xfId="0" applyBorder="1" applyAlignment="1">
      <alignment horizontal="center"/>
    </xf>
    <xf numFmtId="166" fontId="0" fillId="0" borderId="0" xfId="0" applyNumberFormat="1" applyBorder="1" applyAlignment="1">
      <alignment horizontal="center"/>
    </xf>
    <xf numFmtId="0" fontId="0" fillId="0" borderId="0" xfId="0" applyFill="1" applyBorder="1" applyAlignment="1">
      <alignment horizontal="center"/>
    </xf>
    <xf numFmtId="0" fontId="0" fillId="0" borderId="1" xfId="0" applyFill="1" applyBorder="1" applyAlignment="1">
      <alignment horizontal="center"/>
    </xf>
    <xf numFmtId="166" fontId="18" fillId="0" borderId="0" xfId="0" applyNumberFormat="1" applyFont="1" applyAlignment="1">
      <alignment horizontal="center"/>
    </xf>
    <xf numFmtId="166" fontId="14" fillId="0" borderId="0" xfId="0" applyNumberFormat="1" applyFont="1" applyAlignment="1">
      <alignment horizontal="center"/>
    </xf>
    <xf numFmtId="44" fontId="2" fillId="0" borderId="89" xfId="1" applyFont="1" applyBorder="1"/>
    <xf numFmtId="166" fontId="8" fillId="0" borderId="13" xfId="1" applyNumberFormat="1" applyFont="1" applyFill="1" applyBorder="1" applyAlignment="1">
      <alignment horizontal="right" vertical="center"/>
    </xf>
    <xf numFmtId="37" fontId="2" fillId="0" borderId="6" xfId="0" applyNumberFormat="1" applyFont="1" applyBorder="1" applyAlignment="1">
      <alignment horizontal="center"/>
    </xf>
    <xf numFmtId="0" fontId="11" fillId="0" borderId="0" xfId="0" applyFont="1"/>
    <xf numFmtId="40" fontId="11" fillId="0" borderId="0" xfId="0" applyNumberFormat="1" applyFont="1" applyAlignment="1">
      <alignment horizontal="left" vertical="center"/>
    </xf>
    <xf numFmtId="166" fontId="8" fillId="0" borderId="0" xfId="0" applyNumberFormat="1" applyFont="1" applyFill="1" applyAlignment="1">
      <alignment horizontal="right" vertical="center"/>
    </xf>
    <xf numFmtId="166" fontId="8" fillId="0" borderId="13" xfId="0" applyNumberFormat="1" applyFont="1" applyFill="1" applyBorder="1" applyAlignment="1">
      <alignment horizontal="right" vertical="center"/>
    </xf>
    <xf numFmtId="166" fontId="8" fillId="0" borderId="18" xfId="0" applyNumberFormat="1" applyFont="1" applyFill="1" applyBorder="1" applyAlignment="1">
      <alignment horizontal="right" vertical="center"/>
    </xf>
    <xf numFmtId="166" fontId="8" fillId="0" borderId="0" xfId="1" applyNumberFormat="1" applyFont="1" applyFill="1" applyAlignment="1">
      <alignment horizontal="right" vertical="center"/>
    </xf>
    <xf numFmtId="166" fontId="8" fillId="0" borderId="5" xfId="0" applyNumberFormat="1" applyFont="1" applyFill="1" applyBorder="1" applyAlignment="1">
      <alignment horizontal="right" vertical="center"/>
    </xf>
    <xf numFmtId="166" fontId="8" fillId="0" borderId="13" xfId="0" applyNumberFormat="1" applyFont="1" applyFill="1" applyBorder="1"/>
    <xf numFmtId="166" fontId="8" fillId="0" borderId="15" xfId="0" applyNumberFormat="1" applyFont="1" applyFill="1" applyBorder="1" applyAlignment="1">
      <alignment horizontal="right" vertical="center"/>
    </xf>
    <xf numFmtId="166" fontId="5" fillId="0" borderId="0" xfId="0" applyNumberFormat="1" applyFont="1" applyFill="1"/>
    <xf numFmtId="166" fontId="8" fillId="0" borderId="15" xfId="1" applyNumberFormat="1" applyFont="1" applyFill="1" applyBorder="1" applyAlignment="1">
      <alignment horizontal="right" vertical="center"/>
    </xf>
    <xf numFmtId="166" fontId="8" fillId="0" borderId="5" xfId="1" applyNumberFormat="1" applyFont="1" applyFill="1" applyBorder="1" applyAlignment="1">
      <alignment horizontal="right" vertical="center"/>
    </xf>
    <xf numFmtId="166" fontId="5" fillId="0" borderId="13" xfId="0" applyNumberFormat="1" applyFont="1" applyFill="1" applyBorder="1"/>
    <xf numFmtId="166" fontId="8" fillId="0" borderId="1" xfId="0" applyNumberFormat="1" applyFont="1" applyFill="1" applyBorder="1" applyAlignment="1">
      <alignment horizontal="right" vertical="center"/>
    </xf>
    <xf numFmtId="166" fontId="8" fillId="0" borderId="12" xfId="0" applyNumberFormat="1" applyFont="1" applyFill="1" applyBorder="1" applyAlignment="1">
      <alignment horizontal="right" vertical="center"/>
    </xf>
    <xf numFmtId="166" fontId="8" fillId="0" borderId="1" xfId="1" applyNumberFormat="1" applyFont="1" applyFill="1" applyBorder="1" applyAlignment="1">
      <alignment horizontal="right" vertical="center"/>
    </xf>
    <xf numFmtId="166" fontId="8" fillId="0" borderId="12" xfId="1" applyNumberFormat="1" applyFont="1" applyFill="1" applyBorder="1" applyAlignment="1">
      <alignment horizontal="right" vertical="center"/>
    </xf>
    <xf numFmtId="166" fontId="8" fillId="0" borderId="2" xfId="0" applyNumberFormat="1" applyFont="1" applyFill="1" applyBorder="1" applyAlignment="1">
      <alignment horizontal="right" vertical="center"/>
    </xf>
    <xf numFmtId="166" fontId="8" fillId="0" borderId="12" xfId="0" applyNumberFormat="1" applyFont="1" applyFill="1" applyBorder="1"/>
    <xf numFmtId="166" fontId="8" fillId="0" borderId="11" xfId="1" applyNumberFormat="1" applyFont="1" applyFill="1" applyBorder="1" applyAlignment="1">
      <alignment horizontal="right" vertical="center"/>
    </xf>
    <xf numFmtId="166" fontId="8" fillId="0" borderId="0" xfId="0" applyNumberFormat="1" applyFont="1" applyFill="1"/>
    <xf numFmtId="166" fontId="2" fillId="0" borderId="0" xfId="0" applyNumberFormat="1" applyFont="1" applyFill="1" applyAlignment="1">
      <alignment horizontal="right" vertical="center"/>
    </xf>
    <xf numFmtId="166" fontId="2" fillId="0" borderId="13" xfId="0" applyNumberFormat="1" applyFont="1" applyFill="1" applyBorder="1" applyAlignment="1">
      <alignment horizontal="right" vertical="center"/>
    </xf>
    <xf numFmtId="166" fontId="8" fillId="0" borderId="13" xfId="1" applyNumberFormat="1" applyFont="1" applyFill="1" applyBorder="1"/>
    <xf numFmtId="166" fontId="2" fillId="0" borderId="1" xfId="0" applyNumberFormat="1" applyFont="1" applyFill="1" applyBorder="1" applyAlignment="1">
      <alignment horizontal="right" vertical="center"/>
    </xf>
    <xf numFmtId="166" fontId="2" fillId="0" borderId="12" xfId="0" applyNumberFormat="1" applyFont="1" applyFill="1" applyBorder="1" applyAlignment="1">
      <alignment horizontal="right" vertical="center"/>
    </xf>
    <xf numFmtId="166" fontId="2" fillId="0" borderId="1" xfId="1" applyNumberFormat="1" applyFont="1" applyFill="1" applyBorder="1" applyAlignment="1">
      <alignment horizontal="right" vertical="center"/>
    </xf>
    <xf numFmtId="166" fontId="2" fillId="0" borderId="12" xfId="1" applyNumberFormat="1" applyFont="1" applyFill="1" applyBorder="1" applyAlignment="1">
      <alignment horizontal="right" vertical="center"/>
    </xf>
    <xf numFmtId="166" fontId="2" fillId="0" borderId="2" xfId="0" applyNumberFormat="1" applyFont="1" applyFill="1" applyBorder="1" applyAlignment="1">
      <alignment horizontal="right" vertical="center"/>
    </xf>
    <xf numFmtId="166" fontId="2" fillId="0" borderId="12" xfId="0" applyNumberFormat="1" applyFont="1" applyFill="1" applyBorder="1"/>
    <xf numFmtId="166" fontId="2" fillId="0" borderId="23" xfId="0" applyNumberFormat="1" applyFont="1" applyFill="1" applyBorder="1"/>
    <xf numFmtId="166" fontId="8" fillId="0" borderId="11" xfId="0" applyNumberFormat="1" applyFont="1" applyFill="1" applyBorder="1" applyAlignment="1">
      <alignment horizontal="right" vertical="center"/>
    </xf>
    <xf numFmtId="0" fontId="8" fillId="0" borderId="0" xfId="0" applyFont="1" applyFill="1" applyAlignment="1">
      <alignment horizontal="center" vertical="center"/>
    </xf>
    <xf numFmtId="0" fontId="8" fillId="0" borderId="0" xfId="0" applyFont="1" applyFill="1"/>
    <xf numFmtId="0" fontId="12" fillId="0" borderId="0" xfId="0" applyFont="1" applyFill="1"/>
    <xf numFmtId="0" fontId="2" fillId="0" borderId="0" xfId="0" applyFont="1" applyFill="1"/>
    <xf numFmtId="166" fontId="2" fillId="0" borderId="37" xfId="1" applyNumberFormat="1" applyFont="1" applyFill="1" applyBorder="1"/>
    <xf numFmtId="166" fontId="2" fillId="0" borderId="38" xfId="1" applyNumberFormat="1" applyFont="1" applyFill="1" applyBorder="1"/>
    <xf numFmtId="166" fontId="2" fillId="0" borderId="13" xfId="0" applyNumberFormat="1" applyFont="1" applyFill="1" applyBorder="1"/>
    <xf numFmtId="166" fontId="10" fillId="0" borderId="0" xfId="1" applyNumberFormat="1" applyFont="1" applyFill="1"/>
    <xf numFmtId="166" fontId="8" fillId="0" borderId="15" xfId="0" applyNumberFormat="1" applyFont="1" applyFill="1" applyBorder="1" applyAlignment="1">
      <alignment horizontal="right" vertical="center" wrapText="1"/>
    </xf>
    <xf numFmtId="166" fontId="8" fillId="0" borderId="12" xfId="0" applyNumberFormat="1" applyFont="1" applyFill="1" applyBorder="1" applyAlignment="1">
      <alignment horizontal="center" vertical="center"/>
    </xf>
    <xf numFmtId="166" fontId="8" fillId="0" borderId="0" xfId="0" applyNumberFormat="1" applyFont="1" applyFill="1" applyAlignment="1">
      <alignment horizontal="center" vertical="center"/>
    </xf>
    <xf numFmtId="166" fontId="8" fillId="0" borderId="13" xfId="0" applyNumberFormat="1" applyFont="1" applyFill="1" applyBorder="1" applyAlignment="1">
      <alignment horizontal="center" vertical="center"/>
    </xf>
    <xf numFmtId="166" fontId="2" fillId="0" borderId="11" xfId="1" applyNumberFormat="1" applyFont="1" applyFill="1" applyBorder="1" applyAlignment="1">
      <alignment horizontal="right" vertical="center"/>
    </xf>
    <xf numFmtId="166" fontId="2" fillId="0" borderId="11" xfId="0" applyNumberFormat="1" applyFont="1" applyFill="1" applyBorder="1" applyAlignment="1">
      <alignment horizontal="right" vertical="center"/>
    </xf>
    <xf numFmtId="166" fontId="2" fillId="0" borderId="18" xfId="0" applyNumberFormat="1" applyFont="1" applyFill="1" applyBorder="1"/>
    <xf numFmtId="166" fontId="8" fillId="0" borderId="19" xfId="0" applyNumberFormat="1" applyFont="1" applyFill="1" applyBorder="1" applyAlignment="1">
      <alignment horizontal="right" vertical="center"/>
    </xf>
    <xf numFmtId="5" fontId="2" fillId="0" borderId="0" xfId="3" applyNumberFormat="1" applyFont="1" applyFill="1"/>
    <xf numFmtId="37" fontId="8" fillId="0" borderId="3" xfId="0" applyNumberFormat="1" applyFont="1" applyFill="1" applyBorder="1" applyAlignment="1">
      <alignment horizontal="center"/>
    </xf>
    <xf numFmtId="0" fontId="5" fillId="0" borderId="0" xfId="0" applyFont="1" applyFill="1"/>
    <xf numFmtId="14" fontId="2" fillId="4" borderId="60" xfId="0" applyNumberFormat="1" applyFont="1" applyFill="1" applyBorder="1" applyAlignment="1">
      <alignment horizontal="center"/>
    </xf>
    <xf numFmtId="0" fontId="2" fillId="4" borderId="61" xfId="2" applyFont="1" applyFill="1" applyBorder="1"/>
    <xf numFmtId="44" fontId="2" fillId="4" borderId="61" xfId="1" applyFont="1" applyFill="1" applyBorder="1"/>
    <xf numFmtId="44" fontId="2" fillId="4" borderId="74" xfId="1" applyFont="1" applyFill="1" applyBorder="1"/>
    <xf numFmtId="166" fontId="8" fillId="0" borderId="90" xfId="0" applyNumberFormat="1" applyFont="1" applyFill="1" applyBorder="1" applyAlignment="1">
      <alignment horizontal="right" vertical="center"/>
    </xf>
    <xf numFmtId="44" fontId="2" fillId="0" borderId="93" xfId="1" applyFont="1" applyBorder="1"/>
    <xf numFmtId="0" fontId="2" fillId="0" borderId="94" xfId="0" applyFont="1" applyBorder="1"/>
    <xf numFmtId="0" fontId="2" fillId="0" borderId="95" xfId="0" applyFont="1" applyBorder="1"/>
    <xf numFmtId="44" fontId="2" fillId="0" borderId="95" xfId="1" applyFont="1" applyBorder="1"/>
    <xf numFmtId="44" fontId="2" fillId="0" borderId="96" xfId="1" applyFont="1" applyBorder="1"/>
    <xf numFmtId="14" fontId="2" fillId="0" borderId="60" xfId="0" applyNumberFormat="1" applyFont="1" applyFill="1" applyBorder="1" applyAlignment="1">
      <alignment horizontal="center"/>
    </xf>
    <xf numFmtId="44" fontId="2" fillId="0" borderId="61" xfId="1" applyFont="1" applyFill="1" applyBorder="1"/>
    <xf numFmtId="44" fontId="2" fillId="0" borderId="62" xfId="1" applyFont="1" applyFill="1" applyBorder="1"/>
    <xf numFmtId="14" fontId="2" fillId="4" borderId="66" xfId="0" applyNumberFormat="1" applyFont="1" applyFill="1" applyBorder="1" applyAlignment="1">
      <alignment horizontal="center"/>
    </xf>
    <xf numFmtId="0" fontId="2" fillId="4" borderId="67" xfId="2" applyFont="1" applyFill="1" applyBorder="1"/>
    <xf numFmtId="44" fontId="2" fillId="4" borderId="67" xfId="1" applyFont="1" applyFill="1" applyBorder="1"/>
    <xf numFmtId="0" fontId="9" fillId="0" borderId="0" xfId="0" applyFont="1" applyAlignment="1">
      <alignment vertical="top" wrapText="1"/>
    </xf>
    <xf numFmtId="5" fontId="9" fillId="0" borderId="0" xfId="0" applyNumberFormat="1" applyFont="1" applyAlignment="1">
      <alignment vertical="top" wrapText="1"/>
    </xf>
    <xf numFmtId="0" fontId="3" fillId="0" borderId="0" xfId="0" applyFont="1" applyAlignment="1">
      <alignment vertical="top" wrapText="1"/>
    </xf>
    <xf numFmtId="0" fontId="2" fillId="0" borderId="91" xfId="2" applyFont="1" applyFill="1" applyBorder="1"/>
    <xf numFmtId="44" fontId="2" fillId="0" borderId="91" xfId="1" applyFont="1" applyFill="1" applyBorder="1"/>
    <xf numFmtId="44" fontId="2" fillId="0" borderId="92" xfId="1" applyFont="1" applyFill="1" applyBorder="1"/>
    <xf numFmtId="44" fontId="2" fillId="0" borderId="76" xfId="1" applyFont="1" applyFill="1" applyBorder="1"/>
    <xf numFmtId="44" fontId="2" fillId="0" borderId="93" xfId="1" applyFont="1" applyFill="1" applyBorder="1"/>
    <xf numFmtId="0" fontId="0" fillId="5" borderId="0" xfId="0" applyFill="1"/>
    <xf numFmtId="14" fontId="2" fillId="3" borderId="66" xfId="0" applyNumberFormat="1" applyFont="1" applyFill="1" applyBorder="1" applyAlignment="1">
      <alignment horizontal="center"/>
    </xf>
    <xf numFmtId="0" fontId="2" fillId="3" borderId="67" xfId="2" applyFont="1" applyFill="1" applyBorder="1"/>
    <xf numFmtId="44" fontId="2" fillId="3" borderId="67" xfId="1" applyFont="1" applyFill="1" applyBorder="1"/>
    <xf numFmtId="44" fontId="2" fillId="3" borderId="74" xfId="1" applyFont="1" applyFill="1" applyBorder="1"/>
    <xf numFmtId="14" fontId="2" fillId="0" borderId="72" xfId="0" applyNumberFormat="1" applyFont="1" applyBorder="1" applyAlignment="1">
      <alignment horizontal="center" vertical="center"/>
    </xf>
    <xf numFmtId="14" fontId="19" fillId="0" borderId="66" xfId="0" applyNumberFormat="1" applyFont="1" applyBorder="1" applyAlignment="1">
      <alignment horizontal="center"/>
    </xf>
    <xf numFmtId="0" fontId="19" fillId="0" borderId="67" xfId="2" applyFont="1" applyFill="1" applyBorder="1"/>
    <xf numFmtId="0" fontId="2" fillId="0" borderId="99" xfId="2" applyFont="1" applyFill="1" applyBorder="1"/>
    <xf numFmtId="44" fontId="2" fillId="0" borderId="99" xfId="1" applyFont="1" applyBorder="1"/>
    <xf numFmtId="0" fontId="2" fillId="0" borderId="57" xfId="0" applyFont="1" applyBorder="1"/>
    <xf numFmtId="166" fontId="2" fillId="0" borderId="76" xfId="1" applyNumberFormat="1" applyFont="1" applyBorder="1"/>
    <xf numFmtId="166" fontId="2" fillId="0" borderId="78" xfId="1" applyNumberFormat="1" applyFont="1" applyBorder="1"/>
    <xf numFmtId="166" fontId="2" fillId="0" borderId="24" xfId="0" applyNumberFormat="1" applyFont="1" applyBorder="1" applyAlignment="1">
      <alignment horizontal="right" vertical="center"/>
    </xf>
    <xf numFmtId="166" fontId="21" fillId="0" borderId="0" xfId="0" applyNumberFormat="1" applyFont="1"/>
    <xf numFmtId="14" fontId="21" fillId="0" borderId="0" xfId="0" applyNumberFormat="1" applyFont="1" applyAlignment="1">
      <alignment horizontal="left"/>
    </xf>
    <xf numFmtId="166" fontId="2" fillId="0" borderId="88" xfId="0" applyNumberFormat="1" applyFont="1" applyBorder="1" applyAlignment="1">
      <alignment horizontal="right" vertical="center"/>
    </xf>
    <xf numFmtId="166" fontId="2" fillId="0" borderId="0" xfId="0" applyNumberFormat="1" applyFont="1" applyBorder="1" applyAlignment="1">
      <alignment horizontal="right" vertical="center"/>
    </xf>
    <xf numFmtId="166" fontId="2" fillId="0" borderId="23" xfId="0" applyNumberFormat="1" applyFont="1" applyBorder="1" applyAlignment="1">
      <alignment horizontal="right" vertical="center"/>
    </xf>
    <xf numFmtId="166" fontId="2" fillId="0" borderId="23" xfId="0" applyNumberFormat="1" applyFont="1" applyFill="1" applyBorder="1" applyAlignment="1">
      <alignment horizontal="right" vertical="center"/>
    </xf>
    <xf numFmtId="166" fontId="2" fillId="0" borderId="4" xfId="0" applyNumberFormat="1" applyFont="1" applyFill="1" applyBorder="1" applyAlignment="1">
      <alignment horizontal="right" vertical="center"/>
    </xf>
    <xf numFmtId="166" fontId="2" fillId="0" borderId="13" xfId="0" applyNumberFormat="1" applyFont="1" applyBorder="1" applyAlignment="1">
      <alignment horizontal="right" vertical="center"/>
    </xf>
    <xf numFmtId="166" fontId="2" fillId="0" borderId="12" xfId="0" applyNumberFormat="1" applyFont="1" applyBorder="1" applyAlignment="1">
      <alignment horizontal="right" vertical="center"/>
    </xf>
    <xf numFmtId="0" fontId="21" fillId="0" borderId="0" xfId="0" applyFont="1" applyAlignment="1">
      <alignment horizontal="left"/>
    </xf>
    <xf numFmtId="8" fontId="2" fillId="0" borderId="25" xfId="0" applyNumberFormat="1" applyFont="1" applyBorder="1" applyAlignment="1">
      <alignment horizontal="right" vertical="center"/>
    </xf>
    <xf numFmtId="8" fontId="2" fillId="0" borderId="25" xfId="0" applyNumberFormat="1" applyFont="1" applyFill="1" applyBorder="1" applyAlignment="1">
      <alignment horizontal="right" vertical="center"/>
    </xf>
    <xf numFmtId="8" fontId="2" fillId="0" borderId="28" xfId="0" applyNumberFormat="1" applyFont="1" applyBorder="1" applyAlignment="1">
      <alignment horizontal="right" vertical="center"/>
    </xf>
    <xf numFmtId="0" fontId="2" fillId="0" borderId="100" xfId="0" applyFont="1" applyFill="1" applyBorder="1" applyAlignment="1">
      <alignment horizontal="right"/>
    </xf>
    <xf numFmtId="0" fontId="2" fillId="0" borderId="101" xfId="0" applyFont="1" applyFill="1" applyBorder="1" applyAlignment="1">
      <alignment horizontal="right"/>
    </xf>
    <xf numFmtId="167" fontId="2" fillId="0" borderId="102" xfId="0" applyNumberFormat="1" applyFont="1" applyFill="1" applyBorder="1" applyAlignment="1">
      <alignment horizontal="right" vertical="center"/>
    </xf>
    <xf numFmtId="8" fontId="21" fillId="0" borderId="21" xfId="0" applyNumberFormat="1" applyFont="1" applyBorder="1" applyAlignment="1">
      <alignment horizontal="right" vertical="center"/>
    </xf>
    <xf numFmtId="8" fontId="21" fillId="0" borderId="14" xfId="0" applyNumberFormat="1" applyFont="1" applyBorder="1" applyAlignment="1">
      <alignment horizontal="right" vertical="center"/>
    </xf>
    <xf numFmtId="8" fontId="21" fillId="0" borderId="87" xfId="0" applyNumberFormat="1" applyFont="1" applyBorder="1" applyAlignment="1">
      <alignment horizontal="right" vertical="center"/>
    </xf>
    <xf numFmtId="166" fontId="21" fillId="0" borderId="0" xfId="0" applyNumberFormat="1" applyFont="1" applyFill="1" applyAlignment="1">
      <alignment horizontal="left"/>
    </xf>
    <xf numFmtId="166" fontId="21" fillId="0" borderId="26" xfId="0" applyNumberFormat="1" applyFont="1" applyFill="1" applyBorder="1" applyAlignment="1">
      <alignment horizontal="right" vertical="center"/>
    </xf>
    <xf numFmtId="165" fontId="2" fillId="0" borderId="23" xfId="0" applyNumberFormat="1" applyFont="1" applyFill="1" applyBorder="1" applyAlignment="1">
      <alignment horizontal="right" vertical="center"/>
    </xf>
    <xf numFmtId="0" fontId="21" fillId="0" borderId="0" xfId="0" applyFont="1" applyFill="1" applyAlignment="1" applyProtection="1">
      <alignment horizontal="left"/>
    </xf>
    <xf numFmtId="166" fontId="2" fillId="0" borderId="68" xfId="0" applyNumberFormat="1" applyFont="1" applyFill="1" applyBorder="1" applyAlignment="1" applyProtection="1">
      <alignment horizontal="right" vertical="center"/>
    </xf>
    <xf numFmtId="0" fontId="2" fillId="0" borderId="67" xfId="2" applyFont="1" applyBorder="1"/>
    <xf numFmtId="0" fontId="2" fillId="0" borderId="49" xfId="2" applyFont="1" applyBorder="1"/>
    <xf numFmtId="0" fontId="2" fillId="0" borderId="61" xfId="2" applyFont="1" applyBorder="1"/>
    <xf numFmtId="0" fontId="2" fillId="0" borderId="73" xfId="2" applyFont="1" applyBorder="1"/>
    <xf numFmtId="0" fontId="2" fillId="0" borderId="64" xfId="2" applyFont="1" applyBorder="1"/>
    <xf numFmtId="0" fontId="2" fillId="0" borderId="76" xfId="2" applyFont="1" applyBorder="1"/>
    <xf numFmtId="0" fontId="0" fillId="0" borderId="1" xfId="0" applyBorder="1" applyAlignment="1">
      <alignment horizontal="center" wrapText="1"/>
    </xf>
    <xf numFmtId="166" fontId="14" fillId="0" borderId="0" xfId="0" applyNumberFormat="1" applyFont="1"/>
    <xf numFmtId="0" fontId="23" fillId="0" borderId="0" xfId="0" applyFont="1"/>
    <xf numFmtId="166" fontId="23" fillId="0" borderId="0" xfId="0" applyNumberFormat="1" applyFont="1" applyAlignment="1">
      <alignment horizontal="center"/>
    </xf>
    <xf numFmtId="14" fontId="16" fillId="0" borderId="66" xfId="0" applyNumberFormat="1" applyFont="1" applyBorder="1" applyAlignment="1">
      <alignment horizontal="center"/>
    </xf>
    <xf numFmtId="0" fontId="16" fillId="0" borderId="67" xfId="2" applyFont="1" applyFill="1" applyBorder="1"/>
    <xf numFmtId="44" fontId="16" fillId="0" borderId="67" xfId="1" applyFont="1" applyFill="1" applyBorder="1"/>
    <xf numFmtId="44" fontId="16" fillId="0" borderId="62" xfId="1" applyFont="1" applyFill="1" applyBorder="1"/>
    <xf numFmtId="0" fontId="24" fillId="0" borderId="0" xfId="0" applyFont="1" applyFill="1"/>
    <xf numFmtId="14" fontId="2" fillId="0" borderId="46" xfId="0" applyNumberFormat="1" applyFont="1" applyBorder="1" applyAlignment="1">
      <alignment horizontal="center"/>
    </xf>
    <xf numFmtId="0" fontId="2" fillId="0" borderId="88" xfId="2" applyFont="1" applyFill="1" applyBorder="1"/>
    <xf numFmtId="0" fontId="25" fillId="0" borderId="0" xfId="0" applyFont="1"/>
    <xf numFmtId="169" fontId="11" fillId="0" borderId="0" xfId="0" applyNumberFormat="1" applyFont="1" applyAlignment="1">
      <alignment horizontal="left"/>
    </xf>
    <xf numFmtId="0" fontId="5" fillId="0" borderId="0" xfId="0" applyFont="1" applyFill="1" applyAlignment="1">
      <alignment vertical="center"/>
    </xf>
    <xf numFmtId="40" fontId="11" fillId="0" borderId="0" xfId="0" applyNumberFormat="1" applyFont="1" applyFill="1" applyAlignment="1">
      <alignment horizontal="left"/>
    </xf>
    <xf numFmtId="8" fontId="11" fillId="0" borderId="0" xfId="0" applyNumberFormat="1" applyFont="1" applyFill="1" applyAlignment="1">
      <alignment horizontal="left" vertical="center"/>
    </xf>
    <xf numFmtId="8" fontId="11" fillId="0" borderId="0" xfId="0" applyNumberFormat="1" applyFont="1" applyFill="1" applyAlignment="1">
      <alignment horizontal="left"/>
    </xf>
    <xf numFmtId="6" fontId="11" fillId="0" borderId="0" xfId="0" applyNumberFormat="1" applyFont="1" applyAlignment="1">
      <alignment horizontal="left"/>
    </xf>
    <xf numFmtId="0" fontId="0" fillId="6" borderId="0" xfId="0" applyFill="1" applyAlignment="1">
      <alignment horizontal="left"/>
    </xf>
    <xf numFmtId="0" fontId="0" fillId="6" borderId="0" xfId="0" applyFill="1"/>
    <xf numFmtId="0" fontId="5" fillId="6" borderId="0" xfId="0" applyFont="1" applyFill="1" applyAlignment="1">
      <alignment vertical="center"/>
    </xf>
    <xf numFmtId="0" fontId="14" fillId="0" borderId="0" xfId="0" applyFont="1" applyAlignment="1">
      <alignment vertical="top" wrapText="1"/>
    </xf>
    <xf numFmtId="8" fontId="11" fillId="6" borderId="0" xfId="0" applyNumberFormat="1" applyFont="1" applyFill="1" applyAlignment="1">
      <alignment horizontal="left"/>
    </xf>
    <xf numFmtId="8" fontId="0" fillId="0" borderId="0" xfId="0" applyNumberFormat="1" applyAlignment="1">
      <alignment horizontal="left"/>
    </xf>
    <xf numFmtId="8" fontId="14" fillId="6" borderId="0" xfId="0" applyNumberFormat="1" applyFont="1" applyFill="1" applyAlignment="1">
      <alignment horizontal="left"/>
    </xf>
    <xf numFmtId="0" fontId="5" fillId="7" borderId="0" xfId="0" applyFont="1" applyFill="1" applyAlignment="1">
      <alignment vertical="center"/>
    </xf>
    <xf numFmtId="8" fontId="11" fillId="7" borderId="0" xfId="0" applyNumberFormat="1" applyFont="1" applyFill="1" applyAlignment="1">
      <alignment horizontal="left"/>
    </xf>
    <xf numFmtId="0" fontId="22" fillId="0" borderId="0" xfId="0" applyFont="1" applyFill="1" applyAlignment="1">
      <alignment horizontal="center"/>
    </xf>
    <xf numFmtId="0" fontId="0" fillId="0" borderId="0" xfId="0" applyFill="1"/>
    <xf numFmtId="0" fontId="14" fillId="0" borderId="0" xfId="0" applyFont="1" applyFill="1" applyAlignment="1">
      <alignment vertical="top" wrapText="1"/>
    </xf>
    <xf numFmtId="166" fontId="26" fillId="0" borderId="0" xfId="0" applyNumberFormat="1" applyFont="1" applyFill="1"/>
    <xf numFmtId="166" fontId="14" fillId="0" borderId="0" xfId="0" applyNumberFormat="1" applyFont="1" applyFill="1"/>
    <xf numFmtId="166" fontId="14" fillId="0" borderId="0" xfId="0" applyNumberFormat="1" applyFont="1" applyFill="1" applyAlignment="1">
      <alignment horizontal="left"/>
    </xf>
    <xf numFmtId="0" fontId="0" fillId="0" borderId="0" xfId="0" applyAlignment="1">
      <alignment wrapText="1"/>
    </xf>
    <xf numFmtId="166" fontId="0" fillId="0" borderId="103" xfId="0" applyNumberFormat="1" applyBorder="1"/>
    <xf numFmtId="0" fontId="0" fillId="0" borderId="3" xfId="0" applyBorder="1"/>
    <xf numFmtId="166" fontId="0" fillId="0" borderId="104" xfId="0" applyNumberFormat="1" applyBorder="1"/>
    <xf numFmtId="0" fontId="0" fillId="0" borderId="105" xfId="0" applyBorder="1"/>
    <xf numFmtId="6" fontId="14" fillId="0" borderId="0" xfId="0" applyNumberFormat="1" applyFont="1" applyAlignment="1">
      <alignment horizontal="left"/>
    </xf>
    <xf numFmtId="0" fontId="0" fillId="0" borderId="0" xfId="0" applyBorder="1" applyAlignment="1">
      <alignment horizontal="left"/>
    </xf>
    <xf numFmtId="8" fontId="21" fillId="0" borderId="20" xfId="0" applyNumberFormat="1" applyFont="1" applyFill="1" applyBorder="1"/>
    <xf numFmtId="166" fontId="2" fillId="0" borderId="24" xfId="0" applyNumberFormat="1" applyFont="1" applyFill="1" applyBorder="1" applyAlignment="1">
      <alignment horizontal="right" vertical="center"/>
    </xf>
    <xf numFmtId="166" fontId="2" fillId="0" borderId="88" xfId="0" applyNumberFormat="1" applyFont="1" applyFill="1" applyBorder="1" applyAlignment="1">
      <alignment horizontal="right" vertical="center"/>
    </xf>
    <xf numFmtId="0" fontId="8" fillId="0" borderId="0" xfId="0" applyFont="1" applyAlignment="1">
      <alignment horizontal="center"/>
    </xf>
    <xf numFmtId="0" fontId="2" fillId="0" borderId="0" xfId="0" applyFont="1" applyFill="1" applyAlignment="1">
      <alignment horizontal="center"/>
    </xf>
    <xf numFmtId="166" fontId="21" fillId="0" borderId="0" xfId="0" applyNumberFormat="1" applyFont="1" applyFill="1" applyAlignment="1">
      <alignment horizontal="center"/>
    </xf>
    <xf numFmtId="0" fontId="2" fillId="0" borderId="0" xfId="0" applyFont="1" applyAlignment="1">
      <alignment horizontal="center"/>
    </xf>
    <xf numFmtId="8" fontId="2" fillId="0" borderId="0" xfId="0" applyNumberFormat="1" applyFont="1" applyAlignment="1">
      <alignment horizontal="center"/>
    </xf>
    <xf numFmtId="166" fontId="21" fillId="0" borderId="0" xfId="0" applyNumberFormat="1" applyFont="1" applyFill="1"/>
    <xf numFmtId="0" fontId="21" fillId="0" borderId="0" xfId="0" applyFont="1" applyFill="1" applyAlignment="1">
      <alignment horizontal="center"/>
    </xf>
    <xf numFmtId="166" fontId="2" fillId="0" borderId="0" xfId="0" applyNumberFormat="1" applyFont="1" applyAlignment="1">
      <alignment horizontal="center"/>
    </xf>
    <xf numFmtId="0" fontId="2" fillId="0" borderId="0" xfId="0" applyFont="1" applyFill="1" applyAlignment="1" applyProtection="1">
      <alignment horizontal="center"/>
    </xf>
    <xf numFmtId="166" fontId="21" fillId="0" borderId="0" xfId="0" applyNumberFormat="1" applyFont="1" applyFill="1" applyAlignment="1">
      <alignment vertical="top"/>
    </xf>
    <xf numFmtId="44" fontId="27" fillId="0" borderId="0" xfId="1" applyFont="1"/>
    <xf numFmtId="8" fontId="8" fillId="0" borderId="0" xfId="0" applyNumberFormat="1" applyFont="1"/>
    <xf numFmtId="166" fontId="29" fillId="0" borderId="15" xfId="0" applyNumberFormat="1" applyFont="1" applyFill="1" applyBorder="1" applyAlignment="1">
      <alignment horizontal="right" vertical="center"/>
    </xf>
    <xf numFmtId="166" fontId="29" fillId="0" borderId="4" xfId="0" applyNumberFormat="1" applyFont="1" applyFill="1" applyBorder="1" applyAlignment="1">
      <alignment horizontal="right" vertical="center"/>
    </xf>
    <xf numFmtId="166" fontId="29" fillId="0" borderId="13" xfId="0" applyNumberFormat="1" applyFont="1" applyFill="1" applyBorder="1" applyAlignment="1">
      <alignment horizontal="right" vertical="center"/>
    </xf>
    <xf numFmtId="14" fontId="30" fillId="0" borderId="66" xfId="0" applyNumberFormat="1" applyFont="1" applyBorder="1" applyAlignment="1">
      <alignment horizontal="center"/>
    </xf>
    <xf numFmtId="0" fontId="30" fillId="0" borderId="67" xfId="2" applyFont="1" applyFill="1" applyBorder="1"/>
    <xf numFmtId="44" fontId="30" fillId="0" borderId="67" xfId="1" applyFont="1" applyBorder="1"/>
    <xf numFmtId="44" fontId="30" fillId="0" borderId="62" xfId="1" applyFont="1" applyBorder="1"/>
    <xf numFmtId="0" fontId="31" fillId="0" borderId="0" xfId="0" applyFont="1"/>
    <xf numFmtId="0" fontId="0" fillId="3" borderId="0" xfId="0" applyFill="1"/>
    <xf numFmtId="6" fontId="11" fillId="0" borderId="0" xfId="0" applyNumberFormat="1" applyFont="1" applyFill="1" applyAlignment="1">
      <alignment horizontal="left"/>
    </xf>
    <xf numFmtId="8" fontId="32" fillId="6" borderId="0" xfId="0" applyNumberFormat="1" applyFont="1" applyFill="1" applyAlignment="1">
      <alignment horizontal="left"/>
    </xf>
    <xf numFmtId="166" fontId="2" fillId="0" borderId="15" xfId="0" applyNumberFormat="1" applyFont="1" applyFill="1" applyBorder="1" applyAlignment="1">
      <alignment horizontal="right" vertical="center"/>
    </xf>
    <xf numFmtId="6" fontId="21" fillId="0" borderId="21" xfId="0" applyNumberFormat="1" applyFont="1" applyFill="1" applyBorder="1" applyAlignment="1">
      <alignment horizontal="right" vertical="center"/>
    </xf>
    <xf numFmtId="8" fontId="21" fillId="0" borderId="21" xfId="0" applyNumberFormat="1" applyFont="1" applyFill="1" applyBorder="1" applyAlignment="1">
      <alignment horizontal="right" vertical="center"/>
    </xf>
    <xf numFmtId="8" fontId="2" fillId="0" borderId="0" xfId="0" applyNumberFormat="1" applyFont="1"/>
    <xf numFmtId="0" fontId="21" fillId="0" borderId="0" xfId="0" applyFont="1" applyFill="1" applyAlignment="1">
      <alignment horizontal="left"/>
    </xf>
    <xf numFmtId="0" fontId="28" fillId="0" borderId="0" xfId="0" applyFont="1" applyFill="1" applyAlignment="1">
      <alignment horizontal="left"/>
    </xf>
    <xf numFmtId="49" fontId="29" fillId="0" borderId="11" xfId="0" applyNumberFormat="1" applyFont="1" applyFill="1" applyBorder="1" applyAlignment="1">
      <alignment horizontal="center" vertical="center" wrapText="1"/>
    </xf>
    <xf numFmtId="49" fontId="29" fillId="0" borderId="7" xfId="0" applyNumberFormat="1" applyFont="1" applyFill="1" applyBorder="1" applyAlignment="1">
      <alignment horizontal="center" vertical="center" wrapText="1"/>
    </xf>
    <xf numFmtId="49" fontId="29" fillId="0" borderId="24"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164" fontId="2" fillId="0" borderId="25" xfId="0" applyNumberFormat="1" applyFont="1" applyFill="1" applyBorder="1" applyAlignment="1">
      <alignment horizontal="right" vertical="center"/>
    </xf>
    <xf numFmtId="8" fontId="2" fillId="0" borderId="13" xfId="0" applyNumberFormat="1" applyFont="1" applyFill="1" applyBorder="1" applyAlignment="1">
      <alignment horizontal="right" vertical="center"/>
    </xf>
    <xf numFmtId="166" fontId="21" fillId="0" borderId="5" xfId="0" applyNumberFormat="1" applyFont="1" applyFill="1" applyBorder="1" applyAlignment="1">
      <alignment horizontal="right" vertical="center"/>
    </xf>
    <xf numFmtId="166" fontId="2" fillId="0" borderId="7" xfId="0" applyNumberFormat="1" applyFont="1" applyFill="1" applyBorder="1" applyAlignment="1">
      <alignment horizontal="right" vertical="center"/>
    </xf>
    <xf numFmtId="166" fontId="29" fillId="0" borderId="11" xfId="0" applyNumberFormat="1" applyFont="1" applyFill="1" applyBorder="1" applyAlignment="1">
      <alignment horizontal="right" vertical="center"/>
    </xf>
    <xf numFmtId="166" fontId="29" fillId="0" borderId="7" xfId="0" applyNumberFormat="1" applyFont="1" applyFill="1" applyBorder="1" applyAlignment="1">
      <alignment horizontal="right" vertical="center"/>
    </xf>
    <xf numFmtId="166" fontId="29" fillId="0" borderId="12" xfId="0" applyNumberFormat="1" applyFont="1" applyFill="1" applyBorder="1" applyAlignment="1">
      <alignment horizontal="right" vertical="center"/>
    </xf>
    <xf numFmtId="164" fontId="2" fillId="0" borderId="28" xfId="0" applyNumberFormat="1" applyFont="1" applyFill="1" applyBorder="1" applyAlignment="1">
      <alignment horizontal="right" vertical="center"/>
    </xf>
    <xf numFmtId="8" fontId="2" fillId="0" borderId="12" xfId="0" applyNumberFormat="1" applyFont="1" applyFill="1" applyBorder="1" applyAlignment="1">
      <alignment horizontal="right" vertical="center"/>
    </xf>
    <xf numFmtId="166" fontId="21" fillId="0" borderId="2" xfId="0" applyNumberFormat="1" applyFont="1" applyFill="1" applyBorder="1" applyAlignment="1">
      <alignment horizontal="right" vertical="center"/>
    </xf>
    <xf numFmtId="165" fontId="2" fillId="0" borderId="24" xfId="0" applyNumberFormat="1" applyFont="1" applyFill="1" applyBorder="1" applyAlignment="1">
      <alignment horizontal="right" vertical="center"/>
    </xf>
    <xf numFmtId="166" fontId="29" fillId="0" borderId="2" xfId="0" applyNumberFormat="1" applyFont="1" applyFill="1" applyBorder="1" applyAlignment="1">
      <alignment horizontal="right" vertical="center"/>
    </xf>
    <xf numFmtId="8" fontId="21" fillId="0" borderId="17" xfId="0" applyNumberFormat="1" applyFont="1" applyFill="1" applyBorder="1" applyAlignment="1">
      <alignment horizontal="right" vertical="center"/>
    </xf>
    <xf numFmtId="8" fontId="21" fillId="0" borderId="29" xfId="0" applyNumberFormat="1" applyFont="1" applyFill="1" applyBorder="1" applyAlignment="1">
      <alignment horizontal="right" vertical="center"/>
    </xf>
    <xf numFmtId="8" fontId="21" fillId="0" borderId="42" xfId="0" applyNumberFormat="1" applyFont="1" applyFill="1" applyBorder="1" applyAlignment="1">
      <alignment horizontal="right" vertical="center"/>
    </xf>
    <xf numFmtId="8" fontId="21" fillId="0" borderId="112" xfId="0" applyNumberFormat="1" applyFont="1" applyFill="1" applyBorder="1" applyAlignment="1">
      <alignment horizontal="right" vertical="center"/>
    </xf>
    <xf numFmtId="8" fontId="28" fillId="0" borderId="26" xfId="0" applyNumberFormat="1" applyFont="1" applyFill="1" applyBorder="1" applyAlignment="1">
      <alignment horizontal="right" vertical="center"/>
    </xf>
    <xf numFmtId="8" fontId="28" fillId="0" borderId="21" xfId="0" applyNumberFormat="1" applyFont="1" applyFill="1" applyBorder="1" applyAlignment="1">
      <alignment horizontal="right" vertical="center"/>
    </xf>
    <xf numFmtId="8" fontId="28" fillId="0" borderId="14" xfId="0" applyNumberFormat="1" applyFont="1" applyFill="1" applyBorder="1" applyAlignment="1">
      <alignment horizontal="right" vertical="center"/>
    </xf>
    <xf numFmtId="8" fontId="21" fillId="0" borderId="26" xfId="0" applyNumberFormat="1" applyFont="1" applyFill="1" applyBorder="1" applyAlignment="1">
      <alignment horizontal="right" vertical="center"/>
    </xf>
    <xf numFmtId="166" fontId="21" fillId="0" borderId="14" xfId="0" applyNumberFormat="1" applyFont="1" applyFill="1" applyBorder="1" applyAlignment="1">
      <alignment horizontal="right" vertical="center"/>
    </xf>
    <xf numFmtId="8" fontId="21" fillId="0" borderId="0" xfId="0" applyNumberFormat="1" applyFont="1" applyFill="1" applyBorder="1" applyAlignment="1">
      <alignment horizontal="right" vertical="center"/>
    </xf>
    <xf numFmtId="8" fontId="2" fillId="0" borderId="0" xfId="0" applyNumberFormat="1" applyFont="1" applyFill="1" applyBorder="1" applyAlignment="1">
      <alignment horizontal="right" vertical="center"/>
    </xf>
    <xf numFmtId="165" fontId="21" fillId="0" borderId="20" xfId="0" applyNumberFormat="1" applyFont="1" applyFill="1" applyBorder="1" applyAlignment="1">
      <alignment horizontal="right" vertical="center"/>
    </xf>
    <xf numFmtId="8" fontId="2" fillId="0" borderId="0" xfId="0" applyNumberFormat="1" applyFont="1" applyFill="1" applyAlignment="1">
      <alignment horizontal="left"/>
    </xf>
    <xf numFmtId="8" fontId="21" fillId="0" borderId="0" xfId="0" applyNumberFormat="1" applyFont="1" applyFill="1" applyAlignment="1">
      <alignment horizontal="center"/>
    </xf>
    <xf numFmtId="0" fontId="29" fillId="0" borderId="0" xfId="0" applyFont="1" applyFill="1"/>
    <xf numFmtId="0" fontId="2" fillId="0" borderId="0" xfId="0" applyFont="1" applyFill="1" applyBorder="1"/>
    <xf numFmtId="8" fontId="2" fillId="0" borderId="0" xfId="0" applyNumberFormat="1" applyFont="1" applyFill="1" applyAlignment="1">
      <alignment horizontal="center"/>
    </xf>
    <xf numFmtId="0" fontId="2" fillId="0" borderId="0" xfId="0" applyFont="1" applyFill="1" applyAlignment="1">
      <alignment vertical="top"/>
    </xf>
    <xf numFmtId="8" fontId="0" fillId="0" borderId="0" xfId="0" applyNumberFormat="1"/>
    <xf numFmtId="8" fontId="2" fillId="0" borderId="61" xfId="2" applyNumberFormat="1" applyFont="1" applyFill="1" applyBorder="1"/>
    <xf numFmtId="44" fontId="2" fillId="0" borderId="67" xfId="1" applyNumberFormat="1" applyFont="1" applyBorder="1"/>
    <xf numFmtId="14" fontId="2" fillId="0" borderId="66" xfId="0" applyNumberFormat="1" applyFont="1" applyFill="1" applyBorder="1" applyAlignment="1">
      <alignment horizontal="center"/>
    </xf>
    <xf numFmtId="44" fontId="2" fillId="0" borderId="76" xfId="1" applyNumberFormat="1" applyFont="1" applyBorder="1"/>
    <xf numFmtId="44" fontId="2" fillId="0" borderId="52" xfId="1" applyNumberFormat="1" applyFont="1" applyBorder="1"/>
    <xf numFmtId="8" fontId="2" fillId="0" borderId="61" xfId="1" applyNumberFormat="1" applyFont="1" applyBorder="1"/>
    <xf numFmtId="8" fontId="2" fillId="0" borderId="64" xfId="1" applyNumberFormat="1" applyFont="1" applyBorder="1"/>
    <xf numFmtId="44" fontId="2" fillId="0" borderId="99" xfId="1" applyNumberFormat="1" applyFont="1" applyBorder="1"/>
    <xf numFmtId="166" fontId="2" fillId="0" borderId="113" xfId="0" applyNumberFormat="1" applyFont="1" applyFill="1" applyBorder="1" applyAlignment="1">
      <alignment horizontal="right" vertical="center"/>
    </xf>
    <xf numFmtId="8" fontId="21" fillId="0" borderId="114" xfId="0" applyNumberFormat="1" applyFont="1" applyFill="1" applyBorder="1"/>
    <xf numFmtId="0" fontId="22" fillId="0" borderId="0" xfId="0" applyFont="1" applyFill="1" applyBorder="1" applyAlignment="1">
      <alignment horizontal="center"/>
    </xf>
    <xf numFmtId="166" fontId="21" fillId="0" borderId="0" xfId="0" applyNumberFormat="1" applyFont="1" applyFill="1" applyBorder="1" applyAlignment="1">
      <alignment horizontal="center"/>
    </xf>
    <xf numFmtId="0" fontId="21" fillId="0" borderId="0" xfId="0" applyFont="1" applyFill="1" applyBorder="1" applyAlignment="1">
      <alignment horizontal="center"/>
    </xf>
    <xf numFmtId="166" fontId="22" fillId="0" borderId="0" xfId="0" applyNumberFormat="1" applyFont="1" applyFill="1" applyBorder="1" applyAlignment="1">
      <alignment horizontal="center"/>
    </xf>
    <xf numFmtId="8" fontId="21" fillId="0" borderId="21" xfId="0" applyNumberFormat="1" applyFont="1" applyFill="1" applyBorder="1"/>
    <xf numFmtId="166" fontId="2" fillId="0" borderId="0" xfId="0" applyNumberFormat="1" applyFont="1" applyFill="1" applyBorder="1" applyAlignment="1">
      <alignment horizontal="right" vertical="center"/>
    </xf>
    <xf numFmtId="166" fontId="2" fillId="0" borderId="1" xfId="0" applyNumberFormat="1" applyFont="1" applyBorder="1" applyAlignment="1">
      <alignment horizontal="right" vertical="center"/>
    </xf>
    <xf numFmtId="8" fontId="21" fillId="0" borderId="9" xfId="0" applyNumberFormat="1" applyFont="1" applyBorder="1" applyAlignment="1">
      <alignment horizontal="right" vertical="center"/>
    </xf>
    <xf numFmtId="8" fontId="21" fillId="9" borderId="115" xfId="0" applyNumberFormat="1" applyFont="1" applyFill="1" applyBorder="1"/>
    <xf numFmtId="166" fontId="2" fillId="9" borderId="86" xfId="0" applyNumberFormat="1" applyFont="1" applyFill="1" applyBorder="1" applyAlignment="1">
      <alignment horizontal="right" vertical="center"/>
    </xf>
    <xf numFmtId="166" fontId="2" fillId="9" borderId="22" xfId="0" applyNumberFormat="1" applyFont="1" applyFill="1" applyBorder="1" applyAlignment="1">
      <alignment horizontal="right" vertical="center"/>
    </xf>
    <xf numFmtId="0" fontId="34" fillId="0" borderId="0" xfId="0" applyFont="1" applyFill="1" applyBorder="1" applyAlignment="1">
      <alignment horizontal="left"/>
    </xf>
    <xf numFmtId="8" fontId="2" fillId="0" borderId="49" xfId="1" applyNumberFormat="1" applyFont="1" applyBorder="1"/>
    <xf numFmtId="44" fontId="2" fillId="0" borderId="61" xfId="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0" fontId="0" fillId="0" borderId="0" xfId="0"/>
    <xf numFmtId="14" fontId="2" fillId="0" borderId="48" xfId="0" applyNumberFormat="1" applyFont="1" applyBorder="1" applyAlignment="1">
      <alignment horizontal="center"/>
    </xf>
    <xf numFmtId="0" fontId="2" fillId="0" borderId="49" xfId="2" applyFont="1" applyFill="1" applyBorder="1"/>
    <xf numFmtId="44" fontId="2" fillId="0" borderId="61" xfId="1" applyFont="1" applyBorder="1"/>
    <xf numFmtId="44" fontId="2" fillId="0" borderId="62" xfId="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14" fontId="2" fillId="0" borderId="66" xfId="0" applyNumberFormat="1" applyFont="1" applyBorder="1" applyAlignment="1">
      <alignment horizontal="center"/>
    </xf>
    <xf numFmtId="0" fontId="2" fillId="0" borderId="67" xfId="2" applyFont="1" applyFill="1" applyBorder="1"/>
    <xf numFmtId="14" fontId="2" fillId="0" borderId="60" xfId="0" applyNumberFormat="1" applyFont="1" applyBorder="1" applyAlignment="1">
      <alignment horizontal="center"/>
    </xf>
    <xf numFmtId="0" fontId="2" fillId="0" borderId="61" xfId="2" applyFont="1" applyFill="1" applyBorder="1"/>
    <xf numFmtId="14" fontId="2" fillId="0" borderId="63" xfId="0" applyNumberFormat="1" applyFont="1" applyBorder="1" applyAlignment="1">
      <alignment horizontal="center"/>
    </xf>
    <xf numFmtId="0" fontId="2" fillId="0" borderId="64" xfId="2" applyFont="1" applyFill="1" applyBorder="1"/>
    <xf numFmtId="0" fontId="0" fillId="0" borderId="0" xfId="0"/>
    <xf numFmtId="0" fontId="0" fillId="0" borderId="0" xfId="0"/>
    <xf numFmtId="0" fontId="0" fillId="0" borderId="0" xfId="0"/>
    <xf numFmtId="44" fontId="2" fillId="0" borderId="62" xfId="1" applyFont="1" applyBorder="1"/>
    <xf numFmtId="44" fontId="2" fillId="0" borderId="64" xfId="1" applyFont="1" applyBorder="1"/>
    <xf numFmtId="14" fontId="2" fillId="0" borderId="63" xfId="0" applyNumberFormat="1" applyFont="1" applyBorder="1" applyAlignment="1">
      <alignment horizontal="center"/>
    </xf>
    <xf numFmtId="0" fontId="2" fillId="0" borderId="73" xfId="2" applyFont="1" applyFill="1" applyBorder="1"/>
    <xf numFmtId="0" fontId="0" fillId="0" borderId="0" xfId="0"/>
    <xf numFmtId="0" fontId="0" fillId="0" borderId="0" xfId="0"/>
    <xf numFmtId="14" fontId="2" fillId="0" borderId="69" xfId="0" applyNumberFormat="1" applyFont="1" applyFill="1" applyBorder="1" applyAlignment="1">
      <alignment horizontal="center"/>
    </xf>
    <xf numFmtId="44" fontId="2" fillId="0" borderId="70" xfId="1" applyFont="1" applyFill="1" applyBorder="1"/>
    <xf numFmtId="44" fontId="2" fillId="0" borderId="67" xfId="1" applyFont="1" applyFill="1" applyBorder="1"/>
    <xf numFmtId="0" fontId="0" fillId="0" borderId="0" xfId="0"/>
    <xf numFmtId="8" fontId="21" fillId="0" borderId="23" xfId="0" applyNumberFormat="1" applyFont="1" applyFill="1" applyBorder="1" applyAlignment="1">
      <alignment horizontal="right" vertical="center"/>
    </xf>
    <xf numFmtId="8" fontId="21" fillId="0" borderId="24" xfId="0" applyNumberFormat="1" applyFont="1" applyFill="1" applyBorder="1" applyAlignment="1">
      <alignment horizontal="right" vertical="center"/>
    </xf>
    <xf numFmtId="166" fontId="2" fillId="0" borderId="13" xfId="0" applyNumberFormat="1" applyFont="1" applyFill="1" applyBorder="1" applyAlignment="1">
      <alignment horizontal="right" vertical="center"/>
    </xf>
    <xf numFmtId="166" fontId="2" fillId="0" borderId="12" xfId="0" applyNumberFormat="1" applyFont="1" applyFill="1" applyBorder="1" applyAlignment="1">
      <alignment horizontal="right" vertical="center"/>
    </xf>
    <xf numFmtId="44" fontId="2" fillId="0" borderId="116" xfId="1" applyFont="1" applyBorder="1"/>
    <xf numFmtId="44" fontId="2" fillId="0" borderId="118" xfId="1" applyFont="1" applyBorder="1"/>
    <xf numFmtId="44" fontId="2" fillId="0" borderId="117" xfId="1" applyFont="1" applyBorder="1"/>
    <xf numFmtId="0" fontId="0" fillId="0" borderId="0" xfId="0"/>
    <xf numFmtId="44" fontId="8" fillId="0" borderId="0" xfId="1" applyFont="1"/>
    <xf numFmtId="44" fontId="0" fillId="0" borderId="0" xfId="1" applyFont="1"/>
    <xf numFmtId="166" fontId="8" fillId="0" borderId="0" xfId="1" applyNumberFormat="1" applyFont="1"/>
    <xf numFmtId="166" fontId="0" fillId="0" borderId="0" xfId="1" applyNumberFormat="1" applyFont="1"/>
    <xf numFmtId="166" fontId="0" fillId="0" borderId="0" xfId="0" applyNumberFormat="1"/>
    <xf numFmtId="0" fontId="8" fillId="0" borderId="45" xfId="0" applyFont="1" applyBorder="1" applyAlignment="1">
      <alignment horizontal="center" wrapText="1"/>
    </xf>
    <xf numFmtId="44" fontId="2" fillId="0" borderId="0" xfId="1" applyFont="1"/>
    <xf numFmtId="0" fontId="14" fillId="0" borderId="0" xfId="0" applyFont="1"/>
    <xf numFmtId="44" fontId="2" fillId="2" borderId="47" xfId="1" applyFont="1" applyFill="1" applyBorder="1"/>
    <xf numFmtId="14" fontId="2" fillId="0" borderId="48" xfId="0" applyNumberFormat="1" applyFont="1" applyBorder="1" applyAlignment="1">
      <alignment horizontal="center"/>
    </xf>
    <xf numFmtId="0" fontId="2" fillId="0" borderId="49" xfId="2" applyFont="1" applyFill="1" applyBorder="1"/>
    <xf numFmtId="44" fontId="2" fillId="0" borderId="61" xfId="1" applyFont="1" applyBorder="1"/>
    <xf numFmtId="44" fontId="2" fillId="0" borderId="62" xfId="1" applyFont="1" applyBorder="1"/>
    <xf numFmtId="44" fontId="2" fillId="0" borderId="67" xfId="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44" fontId="2" fillId="0" borderId="71" xfId="1" applyFont="1" applyBorder="1"/>
    <xf numFmtId="14" fontId="2" fillId="0" borderId="72" xfId="0" applyNumberFormat="1" applyFont="1" applyBorder="1" applyAlignment="1">
      <alignment horizontal="center"/>
    </xf>
    <xf numFmtId="0" fontId="2" fillId="0" borderId="73" xfId="2" applyFont="1" applyFill="1" applyBorder="1"/>
    <xf numFmtId="44" fontId="2" fillId="0" borderId="73" xfId="1" applyFont="1" applyBorder="1"/>
    <xf numFmtId="44" fontId="2" fillId="0" borderId="74" xfId="1" applyFont="1" applyBorder="1"/>
    <xf numFmtId="44" fontId="2" fillId="0" borderId="82" xfId="1" applyFont="1" applyBorder="1"/>
    <xf numFmtId="44" fontId="2" fillId="0" borderId="61" xfId="1" applyNumberFormat="1" applyFont="1" applyBorder="1"/>
    <xf numFmtId="44" fontId="2" fillId="0" borderId="120" xfId="1" applyFont="1" applyBorder="1"/>
    <xf numFmtId="44" fontId="2" fillId="0" borderId="121" xfId="1" applyFont="1" applyBorder="1"/>
    <xf numFmtId="0" fontId="8" fillId="0" borderId="122" xfId="0" applyFont="1" applyBorder="1" applyAlignment="1">
      <alignment horizontal="center" wrapText="1"/>
    </xf>
    <xf numFmtId="44" fontId="2" fillId="0" borderId="123" xfId="1" applyFont="1" applyBorder="1"/>
    <xf numFmtId="44" fontId="2" fillId="0" borderId="124" xfId="1" applyFont="1" applyBorder="1"/>
    <xf numFmtId="44" fontId="2" fillId="0" borderId="125" xfId="1" applyFont="1" applyBorder="1"/>
    <xf numFmtId="44" fontId="2" fillId="0" borderId="126" xfId="1" applyFont="1" applyBorder="1"/>
    <xf numFmtId="44" fontId="2" fillId="0" borderId="127" xfId="1" applyFont="1" applyBorder="1"/>
    <xf numFmtId="44" fontId="2" fillId="0" borderId="129" xfId="1" applyFont="1" applyBorder="1"/>
    <xf numFmtId="44" fontId="2" fillId="0" borderId="130" xfId="1" applyFont="1" applyBorder="1"/>
    <xf numFmtId="0" fontId="8" fillId="0" borderId="133" xfId="0" applyFont="1" applyBorder="1" applyAlignment="1">
      <alignment horizontal="center" wrapText="1"/>
    </xf>
    <xf numFmtId="44" fontId="2" fillId="0" borderId="134" xfId="1" applyFont="1" applyBorder="1"/>
    <xf numFmtId="44" fontId="2" fillId="0" borderId="135" xfId="1" applyFont="1" applyBorder="1"/>
    <xf numFmtId="44" fontId="2" fillId="0" borderId="136" xfId="1" applyFont="1" applyBorder="1"/>
    <xf numFmtId="44" fontId="2" fillId="0" borderId="137" xfId="1" applyFont="1" applyBorder="1"/>
    <xf numFmtId="44" fontId="2" fillId="0" borderId="138" xfId="1" applyFont="1" applyBorder="1"/>
    <xf numFmtId="44" fontId="2" fillId="0" borderId="139" xfId="1" applyFont="1" applyBorder="1"/>
    <xf numFmtId="44" fontId="2" fillId="0" borderId="140" xfId="1" applyFont="1" applyBorder="1"/>
    <xf numFmtId="44" fontId="2" fillId="0" borderId="141" xfId="1" applyFont="1" applyBorder="1"/>
    <xf numFmtId="44" fontId="2" fillId="0" borderId="145" xfId="1" applyFont="1" applyBorder="1"/>
    <xf numFmtId="0" fontId="8" fillId="0" borderId="5" xfId="0" applyFont="1" applyBorder="1" applyAlignment="1">
      <alignment horizontal="center" wrapText="1"/>
    </xf>
    <xf numFmtId="44" fontId="2" fillId="0" borderId="146" xfId="1" applyFont="1" applyBorder="1"/>
    <xf numFmtId="44" fontId="2" fillId="0" borderId="147" xfId="1" applyFont="1" applyBorder="1"/>
    <xf numFmtId="44" fontId="2" fillId="0" borderId="148" xfId="1" applyFont="1" applyBorder="1"/>
    <xf numFmtId="44" fontId="2" fillId="0" borderId="149" xfId="1" applyFont="1" applyBorder="1"/>
    <xf numFmtId="44" fontId="2" fillId="0" borderId="150" xfId="1" applyFont="1" applyBorder="1"/>
    <xf numFmtId="44" fontId="2" fillId="0" borderId="151" xfId="1" applyFont="1" applyBorder="1"/>
    <xf numFmtId="44" fontId="2" fillId="0" borderId="152" xfId="1" applyFont="1" applyBorder="1"/>
    <xf numFmtId="44" fontId="2" fillId="0" borderId="153" xfId="1" applyFont="1" applyBorder="1"/>
    <xf numFmtId="44" fontId="2" fillId="0" borderId="154" xfId="1" applyFont="1" applyBorder="1"/>
    <xf numFmtId="44" fontId="2" fillId="0" borderId="155" xfId="1" applyFont="1" applyBorder="1"/>
    <xf numFmtId="44" fontId="2" fillId="4" borderId="117" xfId="1" applyFont="1" applyFill="1" applyBorder="1"/>
    <xf numFmtId="44" fontId="2" fillId="4" borderId="151" xfId="1" applyFont="1" applyFill="1" applyBorder="1"/>
    <xf numFmtId="44" fontId="2" fillId="4" borderId="136" xfId="1" applyFont="1" applyFill="1" applyBorder="1"/>
    <xf numFmtId="44" fontId="2" fillId="4" borderId="154" xfId="1" applyFont="1" applyFill="1" applyBorder="1"/>
    <xf numFmtId="44" fontId="2" fillId="0" borderId="156" xfId="1" applyFont="1" applyBorder="1"/>
    <xf numFmtId="44" fontId="2" fillId="0" borderId="157" xfId="1" applyFont="1" applyBorder="1"/>
    <xf numFmtId="44" fontId="2" fillId="0" borderId="158" xfId="1" applyFont="1" applyBorder="1"/>
    <xf numFmtId="44" fontId="2" fillId="0" borderId="159" xfId="1" applyFont="1" applyBorder="1"/>
    <xf numFmtId="44" fontId="2" fillId="4" borderId="129" xfId="1" applyFont="1" applyFill="1" applyBorder="1"/>
    <xf numFmtId="44" fontId="2" fillId="3" borderId="129" xfId="1" applyFont="1" applyFill="1" applyBorder="1"/>
    <xf numFmtId="44" fontId="2" fillId="4" borderId="153" xfId="1" applyFont="1" applyFill="1" applyBorder="1"/>
    <xf numFmtId="44" fontId="2" fillId="3" borderId="153" xfId="1" applyFont="1" applyFill="1" applyBorder="1"/>
    <xf numFmtId="44" fontId="2" fillId="4" borderId="138" xfId="1" applyFont="1" applyFill="1" applyBorder="1"/>
    <xf numFmtId="44" fontId="2" fillId="3" borderId="138" xfId="1" applyFont="1" applyFill="1" applyBorder="1"/>
    <xf numFmtId="44" fontId="2" fillId="3" borderId="154" xfId="1" applyFont="1" applyFill="1" applyBorder="1"/>
    <xf numFmtId="44" fontId="2" fillId="0" borderId="117" xfId="1" applyNumberFormat="1" applyFont="1" applyBorder="1"/>
    <xf numFmtId="44" fontId="37" fillId="0" borderId="145" xfId="1" applyFont="1" applyBorder="1"/>
    <xf numFmtId="44" fontId="2" fillId="0" borderId="117" xfId="1" applyFont="1" applyFill="1" applyBorder="1"/>
    <xf numFmtId="44" fontId="2" fillId="0" borderId="168" xfId="1" applyFont="1" applyFill="1" applyBorder="1"/>
    <xf numFmtId="44" fontId="2" fillId="0" borderId="129" xfId="1" applyFont="1" applyFill="1" applyBorder="1"/>
    <xf numFmtId="8" fontId="2" fillId="0" borderId="146" xfId="1" applyNumberFormat="1" applyFont="1" applyBorder="1"/>
    <xf numFmtId="44" fontId="2" fillId="0" borderId="151" xfId="1" applyFont="1" applyFill="1" applyBorder="1"/>
    <xf numFmtId="44" fontId="2" fillId="0" borderId="169" xfId="1" applyFont="1" applyFill="1" applyBorder="1"/>
    <xf numFmtId="44" fontId="2" fillId="0" borderId="153" xfId="1" applyFont="1" applyFill="1" applyBorder="1"/>
    <xf numFmtId="8" fontId="2" fillId="0" borderId="134" xfId="1" applyNumberFormat="1" applyFont="1" applyBorder="1"/>
    <xf numFmtId="44" fontId="2" fillId="0" borderId="136" xfId="1" applyFont="1" applyFill="1" applyBorder="1"/>
    <xf numFmtId="44" fontId="2" fillId="0" borderId="137" xfId="1" applyFont="1" applyFill="1" applyBorder="1"/>
    <xf numFmtId="44" fontId="2" fillId="0" borderId="170" xfId="1" applyFont="1" applyFill="1" applyBorder="1"/>
    <xf numFmtId="44" fontId="2" fillId="0" borderId="138" xfId="1" applyFont="1" applyFill="1" applyBorder="1"/>
    <xf numFmtId="44" fontId="2" fillId="0" borderId="172" xfId="1" applyFont="1" applyBorder="1"/>
    <xf numFmtId="44" fontId="2" fillId="0" borderId="173" xfId="1" applyFont="1" applyBorder="1"/>
    <xf numFmtId="44" fontId="2" fillId="2" borderId="171" xfId="1" applyFont="1" applyFill="1" applyBorder="1"/>
    <xf numFmtId="44" fontId="2" fillId="0" borderId="174" xfId="1" applyFont="1" applyBorder="1"/>
    <xf numFmtId="44" fontId="30" fillId="0" borderId="129" xfId="1" applyFont="1" applyBorder="1"/>
    <xf numFmtId="44" fontId="30" fillId="0" borderId="153" xfId="1" applyFont="1" applyBorder="1"/>
    <xf numFmtId="44" fontId="30" fillId="0" borderId="138" xfId="1" applyFont="1" applyBorder="1"/>
    <xf numFmtId="44" fontId="30" fillId="0" borderId="137" xfId="1" applyFont="1" applyBorder="1"/>
    <xf numFmtId="44" fontId="2" fillId="0" borderId="175" xfId="1" applyFont="1" applyBorder="1"/>
    <xf numFmtId="44" fontId="2" fillId="0" borderId="118" xfId="1" applyNumberFormat="1" applyFont="1" applyBorder="1"/>
    <xf numFmtId="44" fontId="2" fillId="0" borderId="176" xfId="1" applyFont="1" applyBorder="1"/>
    <xf numFmtId="44" fontId="2" fillId="0" borderId="177" xfId="1" applyFont="1" applyBorder="1"/>
    <xf numFmtId="166" fontId="2" fillId="0" borderId="116" xfId="1" applyNumberFormat="1" applyFont="1" applyBorder="1"/>
    <xf numFmtId="166" fontId="2" fillId="0" borderId="117" xfId="1" applyNumberFormat="1" applyFont="1" applyBorder="1"/>
    <xf numFmtId="166" fontId="2" fillId="0" borderId="129"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53" xfId="1" applyNumberFormat="1" applyFont="1" applyBorder="1"/>
    <xf numFmtId="166" fontId="2" fillId="0" borderId="155"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38" xfId="1" applyNumberFormat="1" applyFont="1" applyBorder="1"/>
    <xf numFmtId="166" fontId="2" fillId="0" borderId="139" xfId="1" applyNumberFormat="1" applyFont="1" applyBorder="1"/>
    <xf numFmtId="166" fontId="2" fillId="0" borderId="140" xfId="1" applyNumberFormat="1" applyFont="1" applyBorder="1"/>
    <xf numFmtId="8" fontId="2" fillId="0" borderId="116" xfId="1" applyNumberFormat="1" applyFont="1" applyBorder="1"/>
    <xf numFmtId="44" fontId="2" fillId="0" borderId="178" xfId="1" applyFont="1" applyBorder="1"/>
    <xf numFmtId="44" fontId="2" fillId="0" borderId="179" xfId="1" applyFont="1" applyBorder="1"/>
    <xf numFmtId="44" fontId="2" fillId="0" borderId="180" xfId="1" applyFont="1" applyBorder="1"/>
    <xf numFmtId="44" fontId="2" fillId="0" borderId="181" xfId="1" applyFont="1" applyBorder="1"/>
    <xf numFmtId="166" fontId="2" fillId="0" borderId="145" xfId="1" applyNumberFormat="1" applyFont="1" applyBorder="1"/>
    <xf numFmtId="166" fontId="2" fillId="0" borderId="147" xfId="1" applyNumberFormat="1" applyFont="1" applyBorder="1"/>
    <xf numFmtId="166" fontId="2" fillId="0" borderId="149" xfId="1" applyNumberFormat="1" applyFont="1" applyBorder="1"/>
    <xf numFmtId="166" fontId="2" fillId="0" borderId="156" xfId="1" applyNumberFormat="1" applyFont="1" applyBorder="1"/>
    <xf numFmtId="166" fontId="2" fillId="0" borderId="157" xfId="1" applyNumberFormat="1" applyFont="1" applyBorder="1"/>
    <xf numFmtId="44" fontId="2" fillId="3" borderId="116" xfId="1" applyFont="1" applyFill="1" applyBorder="1"/>
    <xf numFmtId="44" fontId="2" fillId="3" borderId="146" xfId="1" applyFont="1" applyFill="1" applyBorder="1"/>
    <xf numFmtId="44" fontId="2" fillId="3" borderId="134" xfId="1" applyFont="1" applyFill="1" applyBorder="1"/>
    <xf numFmtId="44" fontId="2" fillId="3" borderId="135" xfId="1" applyFont="1" applyFill="1" applyBorder="1"/>
    <xf numFmtId="44" fontId="2" fillId="0" borderId="129" xfId="1" applyNumberFormat="1" applyFont="1" applyBorder="1"/>
    <xf numFmtId="8" fontId="2" fillId="0" borderId="117" xfId="1" applyNumberFormat="1" applyFont="1" applyBorder="1"/>
    <xf numFmtId="44" fontId="2" fillId="0" borderId="182" xfId="1" applyFont="1" applyFill="1" applyBorder="1"/>
    <xf numFmtId="44" fontId="2" fillId="0" borderId="156" xfId="1" applyFont="1" applyFill="1" applyBorder="1"/>
    <xf numFmtId="44" fontId="2" fillId="0" borderId="183" xfId="1" applyFont="1" applyBorder="1"/>
    <xf numFmtId="44" fontId="2" fillId="0" borderId="184" xfId="1" applyFont="1" applyFill="1" applyBorder="1"/>
    <xf numFmtId="44" fontId="2" fillId="0" borderId="158" xfId="1" applyFont="1" applyFill="1" applyBorder="1"/>
    <xf numFmtId="44" fontId="2" fillId="0" borderId="185" xfId="1" applyFont="1" applyBorder="1"/>
    <xf numFmtId="44" fontId="2" fillId="0" borderId="186" xfId="1" applyFont="1" applyFill="1" applyBorder="1"/>
    <xf numFmtId="44" fontId="2" fillId="0" borderId="187" xfId="1" applyFont="1" applyFill="1" applyBorder="1"/>
    <xf numFmtId="44" fontId="2" fillId="0" borderId="125" xfId="1" applyFont="1" applyFill="1" applyBorder="1"/>
    <xf numFmtId="44" fontId="2" fillId="0" borderId="188" xfId="1" applyFont="1" applyFill="1" applyBorder="1"/>
    <xf numFmtId="44" fontId="2" fillId="0" borderId="188" xfId="1" applyFont="1" applyBorder="1"/>
    <xf numFmtId="44" fontId="2" fillId="0" borderId="189" xfId="1" applyFont="1" applyBorder="1"/>
    <xf numFmtId="44" fontId="2" fillId="0" borderId="190" xfId="1" applyFont="1" applyBorder="1"/>
    <xf numFmtId="44" fontId="2" fillId="0" borderId="191" xfId="1" applyFont="1" applyBorder="1"/>
    <xf numFmtId="44" fontId="2" fillId="0" borderId="191" xfId="1" applyNumberFormat="1" applyFont="1" applyBorder="1"/>
    <xf numFmtId="44" fontId="2" fillId="0" borderId="192" xfId="1" applyFont="1" applyBorder="1"/>
    <xf numFmtId="44" fontId="2" fillId="0" borderId="193" xfId="1" applyFont="1" applyBorder="1"/>
    <xf numFmtId="44" fontId="16" fillId="0" borderId="129" xfId="1" applyFont="1" applyFill="1" applyBorder="1"/>
    <xf numFmtId="44" fontId="16" fillId="0" borderId="153" xfId="1" applyFont="1" applyFill="1" applyBorder="1"/>
    <xf numFmtId="44" fontId="16" fillId="0" borderId="138" xfId="1" applyFont="1" applyFill="1" applyBorder="1"/>
    <xf numFmtId="44" fontId="16" fillId="0" borderId="137" xfId="1" applyFont="1" applyFill="1" applyBorder="1"/>
    <xf numFmtId="44" fontId="2" fillId="0" borderId="195" xfId="1" applyFont="1" applyBorder="1"/>
    <xf numFmtId="166" fontId="2" fillId="0" borderId="168" xfId="1" applyNumberFormat="1" applyFont="1" applyBorder="1"/>
    <xf numFmtId="166" fontId="2" fillId="0" borderId="169" xfId="1" applyNumberFormat="1" applyFont="1" applyBorder="1"/>
    <xf numFmtId="166" fontId="2" fillId="0" borderId="170" xfId="1" applyNumberFormat="1" applyFont="1" applyBorder="1"/>
    <xf numFmtId="8" fontId="2" fillId="0" borderId="145" xfId="1" applyNumberFormat="1" applyFont="1" applyBorder="1"/>
    <xf numFmtId="44" fontId="2" fillId="0" borderId="136" xfId="1" applyNumberFormat="1" applyFont="1" applyBorder="1"/>
    <xf numFmtId="44" fontId="2" fillId="0" borderId="137" xfId="1" applyNumberFormat="1" applyFont="1" applyBorder="1"/>
    <xf numFmtId="44" fontId="2" fillId="0" borderId="151" xfId="1" applyNumberFormat="1" applyFont="1" applyBorder="1"/>
    <xf numFmtId="44" fontId="2" fillId="0" borderId="62" xfId="1" applyNumberFormat="1" applyFont="1" applyBorder="1"/>
    <xf numFmtId="2" fontId="0" fillId="0" borderId="0" xfId="0" applyNumberFormat="1"/>
    <xf numFmtId="166" fontId="7" fillId="0" borderId="8" xfId="0" applyNumberFormat="1" applyFont="1" applyFill="1" applyBorder="1" applyAlignment="1">
      <alignment horizontal="right" vertical="center"/>
    </xf>
    <xf numFmtId="8" fontId="2" fillId="0" borderId="67" xfId="1" applyNumberFormat="1" applyFont="1" applyBorder="1"/>
    <xf numFmtId="8" fontId="2" fillId="0" borderId="129" xfId="1" applyNumberFormat="1" applyFont="1" applyBorder="1"/>
    <xf numFmtId="166" fontId="2" fillId="0" borderId="24" xfId="0" applyNumberFormat="1" applyFont="1" applyBorder="1" applyAlignment="1">
      <alignment horizontal="right" vertical="center"/>
    </xf>
    <xf numFmtId="166" fontId="2" fillId="0" borderId="88" xfId="0" applyNumberFormat="1" applyFont="1" applyBorder="1" applyAlignment="1">
      <alignment horizontal="right" vertical="center"/>
    </xf>
    <xf numFmtId="166" fontId="2" fillId="0" borderId="23" xfId="0" applyNumberFormat="1" applyFont="1" applyBorder="1" applyAlignment="1">
      <alignment horizontal="right" vertical="center"/>
    </xf>
    <xf numFmtId="166" fontId="2" fillId="0" borderId="23" xfId="0" applyNumberFormat="1" applyFont="1" applyFill="1" applyBorder="1" applyAlignment="1">
      <alignment horizontal="right" vertical="center"/>
    </xf>
    <xf numFmtId="166" fontId="8" fillId="0" borderId="0" xfId="1" applyNumberFormat="1" applyFont="1" applyFill="1"/>
    <xf numFmtId="44" fontId="0" fillId="0" borderId="0" xfId="0" applyNumberFormat="1"/>
    <xf numFmtId="170" fontId="0" fillId="0" borderId="0" xfId="0" applyNumberFormat="1"/>
    <xf numFmtId="44" fontId="2" fillId="0" borderId="73" xfId="1" applyNumberFormat="1" applyFont="1" applyBorder="1"/>
    <xf numFmtId="44" fontId="2" fillId="0" borderId="130" xfId="1" applyNumberFormat="1" applyFont="1" applyBorder="1"/>
    <xf numFmtId="44" fontId="2" fillId="0" borderId="64" xfId="1" applyNumberFormat="1" applyFont="1" applyBorder="1"/>
    <xf numFmtId="44" fontId="2" fillId="0" borderId="145" xfId="1" applyNumberFormat="1" applyFont="1" applyBorder="1"/>
    <xf numFmtId="44" fontId="2" fillId="0" borderId="149" xfId="1" applyNumberFormat="1" applyFont="1" applyBorder="1"/>
    <xf numFmtId="44" fontId="2" fillId="0" borderId="150" xfId="1" applyNumberFormat="1" applyFont="1" applyBorder="1"/>
    <xf numFmtId="44" fontId="2" fillId="0" borderId="147" xfId="1" applyNumberFormat="1" applyFont="1" applyBorder="1"/>
    <xf numFmtId="44" fontId="2" fillId="0" borderId="65" xfId="1" applyNumberFormat="1" applyFont="1" applyBorder="1"/>
    <xf numFmtId="44" fontId="2" fillId="0" borderId="140" xfId="1" applyNumberFormat="1" applyFont="1" applyBorder="1"/>
    <xf numFmtId="44" fontId="2" fillId="0" borderId="141" xfId="1" applyNumberFormat="1" applyFont="1" applyBorder="1"/>
    <xf numFmtId="44" fontId="2" fillId="0" borderId="148" xfId="1" applyNumberFormat="1" applyFont="1" applyBorder="1"/>
    <xf numFmtId="44" fontId="2" fillId="0" borderId="53" xfId="1" applyNumberFormat="1" applyFont="1" applyBorder="1"/>
    <xf numFmtId="44" fontId="2" fillId="3" borderId="49" xfId="1" applyNumberFormat="1" applyFont="1" applyFill="1" applyBorder="1"/>
    <xf numFmtId="44" fontId="2" fillId="3" borderId="116" xfId="1" applyNumberFormat="1" applyFont="1" applyFill="1" applyBorder="1"/>
    <xf numFmtId="44" fontId="2" fillId="3" borderId="134" xfId="1" applyNumberFormat="1" applyFont="1" applyFill="1" applyBorder="1"/>
    <xf numFmtId="44" fontId="2" fillId="3" borderId="135" xfId="1" applyNumberFormat="1" applyFont="1" applyFill="1" applyBorder="1"/>
    <xf numFmtId="44" fontId="2" fillId="3" borderId="146" xfId="1" applyNumberFormat="1" applyFont="1" applyFill="1" applyBorder="1"/>
    <xf numFmtId="44" fontId="2" fillId="3" borderId="50" xfId="1" applyNumberFormat="1" applyFont="1" applyFill="1" applyBorder="1"/>
    <xf numFmtId="44" fontId="2" fillId="0" borderId="61" xfId="1" applyNumberFormat="1" applyFont="1" applyFill="1" applyBorder="1"/>
    <xf numFmtId="44" fontId="2" fillId="0" borderId="117" xfId="1" applyNumberFormat="1" applyFont="1" applyFill="1" applyBorder="1" applyAlignment="1">
      <alignment horizontal="right"/>
    </xf>
    <xf numFmtId="44" fontId="2" fillId="0" borderId="136" xfId="1" applyNumberFormat="1" applyFont="1" applyFill="1" applyBorder="1"/>
    <xf numFmtId="44" fontId="2" fillId="0" borderId="137" xfId="1" applyNumberFormat="1" applyFont="1" applyFill="1" applyBorder="1"/>
    <xf numFmtId="44" fontId="2" fillId="0" borderId="151" xfId="1" applyNumberFormat="1" applyFont="1" applyFill="1" applyBorder="1"/>
    <xf numFmtId="44" fontId="2" fillId="0" borderId="62" xfId="1" applyNumberFormat="1" applyFont="1" applyFill="1" applyBorder="1"/>
    <xf numFmtId="44" fontId="2" fillId="0" borderId="67" xfId="1" applyNumberFormat="1" applyFont="1" applyFill="1" applyBorder="1"/>
    <xf numFmtId="44" fontId="2" fillId="0" borderId="129" xfId="1" applyNumberFormat="1" applyFont="1" applyFill="1" applyBorder="1" applyAlignment="1"/>
    <xf numFmtId="44" fontId="2" fillId="0" borderId="138" xfId="1" applyNumberFormat="1" applyFont="1" applyFill="1" applyBorder="1"/>
    <xf numFmtId="44" fontId="2" fillId="0" borderId="152" xfId="1" applyNumberFormat="1" applyFont="1" applyFill="1" applyBorder="1"/>
    <xf numFmtId="44" fontId="2" fillId="0" borderId="153" xfId="1" applyNumberFormat="1" applyFont="1" applyFill="1" applyBorder="1"/>
    <xf numFmtId="44" fontId="2" fillId="0" borderId="71" xfId="1" applyNumberFormat="1" applyFont="1" applyFill="1" applyBorder="1"/>
    <xf numFmtId="44" fontId="2" fillId="0" borderId="129" xfId="1" applyNumberFormat="1" applyFont="1" applyFill="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4" borderId="61" xfId="1" applyNumberFormat="1" applyFont="1" applyFill="1" applyBorder="1"/>
    <xf numFmtId="166" fontId="2" fillId="4" borderId="117" xfId="1" applyNumberFormat="1" applyFont="1" applyFill="1" applyBorder="1"/>
    <xf numFmtId="166" fontId="2" fillId="4" borderId="136" xfId="1" applyNumberFormat="1" applyFont="1" applyFill="1" applyBorder="1"/>
    <xf numFmtId="166" fontId="2" fillId="4" borderId="137" xfId="1" applyNumberFormat="1" applyFont="1" applyFill="1" applyBorder="1"/>
    <xf numFmtId="166" fontId="2" fillId="4" borderId="151" xfId="1" applyNumberFormat="1" applyFont="1" applyFill="1" applyBorder="1"/>
    <xf numFmtId="166" fontId="2" fillId="4" borderId="62" xfId="1" applyNumberFormat="1" applyFont="1" applyFill="1" applyBorder="1"/>
    <xf numFmtId="166" fontId="2" fillId="0" borderId="67" xfId="1" applyNumberFormat="1" applyFont="1" applyBorder="1"/>
    <xf numFmtId="166" fontId="2" fillId="0" borderId="152" xfId="1" applyNumberFormat="1" applyFont="1" applyBorder="1"/>
    <xf numFmtId="166" fontId="2" fillId="0" borderId="71" xfId="1" applyNumberFormat="1" applyFont="1" applyBorder="1"/>
    <xf numFmtId="166" fontId="2" fillId="0" borderId="73" xfId="1" applyNumberFormat="1" applyFont="1" applyBorder="1"/>
    <xf numFmtId="166" fontId="2" fillId="0" borderId="154" xfId="1" applyNumberFormat="1" applyFont="1" applyBorder="1"/>
    <xf numFmtId="166" fontId="2" fillId="0" borderId="74" xfId="1" applyNumberFormat="1" applyFont="1" applyBorder="1"/>
    <xf numFmtId="166" fontId="2" fillId="0" borderId="137" xfId="1" applyNumberFormat="1" applyFont="1" applyBorder="1"/>
    <xf numFmtId="166" fontId="2" fillId="0" borderId="62" xfId="1" applyNumberFormat="1" applyFont="1" applyBorder="1"/>
    <xf numFmtId="8" fontId="21" fillId="0" borderId="196" xfId="0" applyNumberFormat="1" applyFont="1" applyFill="1" applyBorder="1"/>
    <xf numFmtId="8" fontId="21" fillId="0" borderId="17" xfId="0" applyNumberFormat="1" applyFont="1" applyFill="1" applyBorder="1"/>
    <xf numFmtId="0" fontId="40" fillId="0" borderId="0" xfId="0" applyFont="1"/>
    <xf numFmtId="44" fontId="2" fillId="0" borderId="198" xfId="1" applyFont="1" applyBorder="1"/>
    <xf numFmtId="44" fontId="2" fillId="0" borderId="199" xfId="1" applyFont="1" applyBorder="1"/>
    <xf numFmtId="44" fontId="2" fillId="0" borderId="200" xfId="1" applyFont="1" applyBorder="1"/>
    <xf numFmtId="44" fontId="2" fillId="0" borderId="201" xfId="1" applyFont="1" applyBorder="1"/>
    <xf numFmtId="44" fontId="2" fillId="0" borderId="202" xfId="1" applyFont="1" applyBorder="1"/>
    <xf numFmtId="44" fontId="2" fillId="0" borderId="203" xfId="1" applyFont="1" applyBorder="1"/>
    <xf numFmtId="166" fontId="2" fillId="0" borderId="79" xfId="1" applyNumberFormat="1" applyFont="1" applyBorder="1"/>
    <xf numFmtId="166" fontId="2" fillId="0" borderId="195" xfId="1" applyNumberFormat="1" applyFont="1" applyBorder="1"/>
    <xf numFmtId="166" fontId="2" fillId="0" borderId="150" xfId="1" applyNumberFormat="1" applyFont="1" applyBorder="1"/>
    <xf numFmtId="166" fontId="2" fillId="0" borderId="65" xfId="1" applyNumberFormat="1" applyFont="1" applyBorder="1"/>
    <xf numFmtId="14" fontId="2" fillId="0" borderId="66" xfId="0" applyNumberFormat="1" applyFont="1" applyBorder="1" applyAlignment="1">
      <alignment horizontal="center"/>
    </xf>
    <xf numFmtId="0" fontId="2" fillId="0" borderId="67" xfId="2" applyFont="1" applyFill="1" applyBorder="1"/>
    <xf numFmtId="166" fontId="2" fillId="0" borderId="49" xfId="1" applyNumberFormat="1" applyFont="1" applyBorder="1"/>
    <xf numFmtId="166" fontId="2" fillId="0" borderId="52" xfId="1" applyNumberFormat="1" applyFont="1" applyBorder="1"/>
    <xf numFmtId="166" fontId="2" fillId="0" borderId="61" xfId="1" applyNumberFormat="1" applyFont="1" applyBorder="1"/>
    <xf numFmtId="166" fontId="2" fillId="0" borderId="116" xfId="1" applyNumberFormat="1" applyFont="1" applyBorder="1"/>
    <xf numFmtId="166" fontId="2" fillId="0" borderId="117" xfId="1" applyNumberFormat="1" applyFont="1" applyBorder="1"/>
    <xf numFmtId="166" fontId="2" fillId="0" borderId="129"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53" xfId="1" applyNumberFormat="1" applyFont="1" applyBorder="1"/>
    <xf numFmtId="166" fontId="2" fillId="0" borderId="155"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38" xfId="1" applyNumberFormat="1" applyFont="1" applyBorder="1"/>
    <xf numFmtId="166" fontId="2" fillId="0" borderId="139" xfId="1" applyNumberFormat="1" applyFont="1" applyBorder="1"/>
    <xf numFmtId="166" fontId="2" fillId="0" borderId="140"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0" borderId="67" xfId="1" applyNumberFormat="1" applyFont="1" applyBorder="1"/>
    <xf numFmtId="166" fontId="2" fillId="0" borderId="152" xfId="1" applyNumberFormat="1" applyFont="1" applyBorder="1"/>
    <xf numFmtId="166" fontId="2" fillId="0" borderId="71" xfId="1" applyNumberFormat="1" applyFont="1" applyBorder="1"/>
    <xf numFmtId="166" fontId="2" fillId="0" borderId="73" xfId="1" applyNumberFormat="1" applyFont="1" applyBorder="1"/>
    <xf numFmtId="166" fontId="2" fillId="0" borderId="154" xfId="1" applyNumberFormat="1" applyFont="1" applyBorder="1"/>
    <xf numFmtId="166" fontId="2" fillId="0" borderId="74" xfId="1" applyNumberFormat="1" applyFont="1" applyBorder="1"/>
    <xf numFmtId="166" fontId="2" fillId="0" borderId="137" xfId="1" applyNumberFormat="1" applyFont="1" applyBorder="1"/>
    <xf numFmtId="166" fontId="2" fillId="0" borderId="62" xfId="1" applyNumberFormat="1" applyFont="1" applyBorder="1"/>
    <xf numFmtId="14" fontId="2" fillId="0" borderId="60" xfId="0" applyNumberFormat="1" applyFont="1" applyBorder="1" applyAlignment="1">
      <alignment horizontal="center"/>
    </xf>
    <xf numFmtId="0" fontId="2" fillId="0" borderId="61" xfId="2" applyFont="1" applyFill="1" applyBorder="1"/>
    <xf numFmtId="166" fontId="2" fillId="0" borderId="49" xfId="1" applyNumberFormat="1" applyFont="1" applyBorder="1"/>
    <xf numFmtId="166" fontId="2" fillId="0" borderId="52" xfId="1" applyNumberFormat="1" applyFont="1" applyBorder="1"/>
    <xf numFmtId="166" fontId="2" fillId="0" borderId="61" xfId="1" applyNumberFormat="1" applyFont="1" applyBorder="1"/>
    <xf numFmtId="166" fontId="2" fillId="0" borderId="116" xfId="1" applyNumberFormat="1" applyFont="1" applyBorder="1"/>
    <xf numFmtId="166" fontId="2" fillId="0" borderId="117"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40"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0" borderId="137" xfId="1" applyNumberFormat="1" applyFont="1" applyBorder="1"/>
    <xf numFmtId="166" fontId="2" fillId="0" borderId="62" xfId="1" applyNumberFormat="1" applyFont="1" applyBorder="1"/>
    <xf numFmtId="14" fontId="2" fillId="0" borderId="77" xfId="0" applyNumberFormat="1" applyFont="1" applyBorder="1" applyAlignment="1">
      <alignment horizontal="center"/>
    </xf>
    <xf numFmtId="0" fontId="2" fillId="0" borderId="78" xfId="2" applyFont="1" applyFill="1" applyBorder="1"/>
    <xf numFmtId="0" fontId="0" fillId="0" borderId="0" xfId="0"/>
    <xf numFmtId="166" fontId="0" fillId="0" borderId="0" xfId="0" applyNumberFormat="1"/>
    <xf numFmtId="14" fontId="2" fillId="0" borderId="66" xfId="0" applyNumberFormat="1" applyFont="1" applyBorder="1" applyAlignment="1">
      <alignment horizontal="center"/>
    </xf>
    <xf numFmtId="0" fontId="2" fillId="0" borderId="67" xfId="2" applyFont="1" applyFill="1" applyBorder="1"/>
    <xf numFmtId="166" fontId="2" fillId="0" borderId="49" xfId="1" applyNumberFormat="1" applyFont="1" applyBorder="1"/>
    <xf numFmtId="166" fontId="2" fillId="0" borderId="52" xfId="1" applyNumberFormat="1" applyFont="1" applyBorder="1"/>
    <xf numFmtId="166" fontId="2" fillId="0" borderId="61" xfId="1" applyNumberFormat="1" applyFont="1" applyBorder="1"/>
    <xf numFmtId="166" fontId="2" fillId="0" borderId="76" xfId="1" applyNumberFormat="1" applyFont="1" applyBorder="1"/>
    <xf numFmtId="166" fontId="2" fillId="0" borderId="78" xfId="1" applyNumberFormat="1" applyFont="1" applyBorder="1"/>
    <xf numFmtId="166" fontId="2" fillId="0" borderId="116" xfId="1" applyNumberFormat="1" applyFont="1" applyBorder="1"/>
    <xf numFmtId="166" fontId="2" fillId="0" borderId="117" xfId="1" applyNumberFormat="1" applyFont="1" applyBorder="1"/>
    <xf numFmtId="166" fontId="2" fillId="0" borderId="129"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53" xfId="1" applyNumberFormat="1" applyFont="1" applyBorder="1"/>
    <xf numFmtId="166" fontId="2" fillId="0" borderId="155"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38" xfId="1" applyNumberFormat="1" applyFont="1" applyBorder="1"/>
    <xf numFmtId="166" fontId="2" fillId="0" borderId="139" xfId="1" applyNumberFormat="1" applyFont="1" applyBorder="1"/>
    <xf numFmtId="166" fontId="2" fillId="0" borderId="140" xfId="1" applyNumberFormat="1" applyFont="1" applyBorder="1"/>
    <xf numFmtId="166" fontId="2" fillId="0" borderId="156" xfId="1" applyNumberFormat="1" applyFont="1" applyBorder="1"/>
    <xf numFmtId="166" fontId="2" fillId="0" borderId="157" xfId="1" applyNumberFormat="1" applyFont="1" applyBorder="1"/>
    <xf numFmtId="166" fontId="2" fillId="4" borderId="49" xfId="1" applyNumberFormat="1" applyFont="1" applyFill="1" applyBorder="1"/>
    <xf numFmtId="166" fontId="2" fillId="4" borderId="116" xfId="1" applyNumberFormat="1" applyFont="1" applyFill="1" applyBorder="1"/>
    <xf numFmtId="166" fontId="2" fillId="4" borderId="134" xfId="1" applyNumberFormat="1" applyFont="1" applyFill="1" applyBorder="1"/>
    <xf numFmtId="166" fontId="2" fillId="4" borderId="135" xfId="1" applyNumberFormat="1" applyFont="1" applyFill="1" applyBorder="1"/>
    <xf numFmtId="166" fontId="2" fillId="4" borderId="146" xfId="1" applyNumberFormat="1" applyFont="1" applyFill="1" applyBorder="1"/>
    <xf numFmtId="166" fontId="2" fillId="4" borderId="50" xfId="1" applyNumberFormat="1" applyFont="1" applyFill="1" applyBorder="1"/>
    <xf numFmtId="166" fontId="2" fillId="0" borderId="81" xfId="1" applyNumberFormat="1" applyFont="1" applyBorder="1"/>
    <xf numFmtId="166" fontId="2" fillId="0" borderId="175" xfId="1" applyNumberFormat="1" applyFont="1" applyBorder="1"/>
    <xf numFmtId="166" fontId="2" fillId="0" borderId="124" xfId="1" applyNumberFormat="1" applyFont="1" applyBorder="1"/>
    <xf numFmtId="166" fontId="2" fillId="0" borderId="177" xfId="1" applyNumberFormat="1" applyFont="1" applyBorder="1"/>
    <xf numFmtId="166" fontId="2" fillId="0" borderId="176" xfId="1" applyNumberFormat="1" applyFont="1" applyBorder="1"/>
    <xf numFmtId="166" fontId="2" fillId="0" borderId="82" xfId="1" applyNumberFormat="1" applyFont="1" applyBorder="1"/>
    <xf numFmtId="166" fontId="2" fillId="0" borderId="125" xfId="1" applyNumberFormat="1" applyFont="1" applyBorder="1"/>
    <xf numFmtId="166" fontId="2" fillId="0" borderId="158" xfId="1" applyNumberFormat="1" applyFont="1" applyBorder="1"/>
    <xf numFmtId="166" fontId="2" fillId="3" borderId="67" xfId="1" applyNumberFormat="1" applyFont="1" applyFill="1" applyBorder="1"/>
    <xf numFmtId="166" fontId="2" fillId="3" borderId="129" xfId="1" applyNumberFormat="1" applyFont="1" applyFill="1" applyBorder="1"/>
    <xf numFmtId="166" fontId="2" fillId="3" borderId="138" xfId="1" applyNumberFormat="1" applyFont="1" applyFill="1" applyBorder="1"/>
    <xf numFmtId="166" fontId="2" fillId="3" borderId="154" xfId="1" applyNumberFormat="1" applyFont="1" applyFill="1" applyBorder="1"/>
    <xf numFmtId="166" fontId="2" fillId="3" borderId="153" xfId="1" applyNumberFormat="1" applyFont="1" applyFill="1" applyBorder="1"/>
    <xf numFmtId="166" fontId="2" fillId="3" borderId="74" xfId="1" applyNumberFormat="1" applyFont="1" applyFill="1" applyBorder="1"/>
    <xf numFmtId="166" fontId="2" fillId="0" borderId="126" xfId="1" applyNumberFormat="1" applyFont="1" applyBorder="1"/>
    <xf numFmtId="166" fontId="2" fillId="0" borderId="159"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0" borderId="67" xfId="1" applyNumberFormat="1" applyFont="1" applyBorder="1"/>
    <xf numFmtId="166" fontId="2" fillId="0" borderId="152" xfId="1" applyNumberFormat="1" applyFont="1" applyBorder="1"/>
    <xf numFmtId="166" fontId="2" fillId="0" borderId="71" xfId="1" applyNumberFormat="1" applyFont="1" applyBorder="1"/>
    <xf numFmtId="166" fontId="2" fillId="0" borderId="73" xfId="1" applyNumberFormat="1" applyFont="1" applyBorder="1"/>
    <xf numFmtId="166" fontId="2" fillId="0" borderId="154" xfId="1" applyNumberFormat="1" applyFont="1" applyBorder="1"/>
    <xf numFmtId="166" fontId="2" fillId="0" borderId="74" xfId="1" applyNumberFormat="1" applyFont="1" applyBorder="1"/>
    <xf numFmtId="166" fontId="2" fillId="0" borderId="137" xfId="1" applyNumberFormat="1" applyFont="1" applyBorder="1"/>
    <xf numFmtId="166" fontId="2" fillId="0" borderId="62" xfId="1" applyNumberFormat="1" applyFont="1" applyBorder="1"/>
    <xf numFmtId="166" fontId="2" fillId="0" borderId="194" xfId="1" applyNumberFormat="1" applyFont="1" applyBorder="1"/>
    <xf numFmtId="0" fontId="0" fillId="0" borderId="0" xfId="0"/>
    <xf numFmtId="0" fontId="0" fillId="0" borderId="0" xfId="0"/>
    <xf numFmtId="166" fontId="2" fillId="0" borderId="49" xfId="1" applyNumberFormat="1" applyFont="1" applyBorder="1"/>
    <xf numFmtId="166" fontId="2" fillId="0" borderId="64" xfId="1" applyNumberFormat="1" applyFont="1" applyBorder="1"/>
    <xf numFmtId="166" fontId="2" fillId="0" borderId="52" xfId="1" applyNumberFormat="1" applyFont="1" applyBorder="1"/>
    <xf numFmtId="166" fontId="2" fillId="0" borderId="61" xfId="1" applyNumberFormat="1" applyFont="1" applyBorder="1"/>
    <xf numFmtId="44" fontId="2" fillId="0" borderId="147" xfId="1" applyFont="1" applyBorder="1"/>
    <xf numFmtId="44" fontId="2" fillId="0" borderId="153" xfId="1" applyFont="1" applyBorder="1"/>
    <xf numFmtId="166" fontId="2" fillId="0" borderId="116" xfId="1" applyNumberFormat="1" applyFont="1" applyBorder="1"/>
    <xf numFmtId="166" fontId="2" fillId="0" borderId="117"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40" xfId="1" applyNumberFormat="1" applyFont="1" applyBorder="1"/>
    <xf numFmtId="166" fontId="2" fillId="0" borderId="145" xfId="1" applyNumberFormat="1" applyFont="1" applyBorder="1"/>
    <xf numFmtId="166" fontId="2" fillId="0" borderId="147" xfId="1" applyNumberFormat="1" applyFont="1" applyBorder="1"/>
    <xf numFmtId="166" fontId="2" fillId="0" borderId="149" xfId="1" applyNumberFormat="1" applyFont="1" applyBorder="1"/>
    <xf numFmtId="2" fontId="0" fillId="0" borderId="0" xfId="0" applyNumberFormat="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4" borderId="136" xfId="1" applyNumberFormat="1" applyFont="1" applyFill="1" applyBorder="1"/>
    <xf numFmtId="166" fontId="2" fillId="4" borderId="151" xfId="1" applyNumberFormat="1" applyFont="1" applyFill="1" applyBorder="1"/>
    <xf numFmtId="166" fontId="2" fillId="0" borderId="137" xfId="1" applyNumberFormat="1" applyFont="1" applyBorder="1"/>
    <xf numFmtId="166" fontId="2" fillId="0" borderId="62" xfId="1" applyNumberFormat="1" applyFont="1" applyBorder="1"/>
    <xf numFmtId="8" fontId="2" fillId="0" borderId="25" xfId="0" applyNumberFormat="1" applyFont="1" applyFill="1" applyBorder="1" applyAlignment="1">
      <alignment horizontal="right" vertical="center"/>
    </xf>
    <xf numFmtId="8" fontId="2" fillId="0" borderId="28" xfId="0" applyNumberFormat="1" applyFont="1" applyFill="1" applyBorder="1" applyAlignment="1">
      <alignment horizontal="right" vertical="center"/>
    </xf>
    <xf numFmtId="8" fontId="2" fillId="0" borderId="22" xfId="0" applyNumberFormat="1" applyFont="1" applyFill="1" applyBorder="1" applyAlignment="1">
      <alignment horizontal="right" vertical="center"/>
    </xf>
    <xf numFmtId="166" fontId="2" fillId="0" borderId="138" xfId="1" quotePrefix="1" applyNumberFormat="1" applyFont="1" applyBorder="1"/>
    <xf numFmtId="166" fontId="2" fillId="0" borderId="153" xfId="1" quotePrefix="1" applyNumberFormat="1" applyFont="1" applyBorder="1"/>
    <xf numFmtId="166" fontId="2" fillId="0" borderId="0" xfId="1" applyNumberFormat="1" applyFont="1"/>
    <xf numFmtId="166" fontId="2" fillId="2" borderId="47" xfId="1" applyNumberFormat="1" applyFont="1" applyFill="1" applyBorder="1"/>
    <xf numFmtId="166" fontId="2" fillId="3" borderId="137" xfId="1" applyNumberFormat="1" applyFont="1" applyFill="1" applyBorder="1"/>
    <xf numFmtId="166" fontId="2" fillId="3" borderId="62" xfId="1" applyNumberFormat="1" applyFont="1" applyFill="1" applyBorder="1"/>
    <xf numFmtId="166" fontId="2" fillId="0" borderId="99" xfId="1" applyNumberFormat="1" applyFont="1" applyBorder="1"/>
    <xf numFmtId="166" fontId="2" fillId="0" borderId="191" xfId="1" applyNumberFormat="1" applyFont="1" applyBorder="1"/>
    <xf numFmtId="166" fontId="2" fillId="0" borderId="193" xfId="1" applyNumberFormat="1" applyFont="1" applyBorder="1"/>
    <xf numFmtId="166" fontId="2" fillId="0" borderId="192" xfId="1" applyNumberFormat="1" applyFont="1" applyBorder="1"/>
    <xf numFmtId="166" fontId="16" fillId="0" borderId="61" xfId="1" applyNumberFormat="1" applyFont="1" applyBorder="1"/>
    <xf numFmtId="166" fontId="16" fillId="0" borderId="117" xfId="1" applyNumberFormat="1" applyFont="1" applyBorder="1"/>
    <xf numFmtId="166" fontId="16" fillId="0" borderId="136" xfId="1" applyNumberFormat="1" applyFont="1" applyBorder="1"/>
    <xf numFmtId="166" fontId="16" fillId="0" borderId="137" xfId="1" applyNumberFormat="1" applyFont="1" applyBorder="1"/>
    <xf numFmtId="166" fontId="16" fillId="0" borderId="151" xfId="1" applyNumberFormat="1" applyFont="1" applyBorder="1"/>
    <xf numFmtId="166" fontId="16" fillId="0" borderId="62" xfId="1" applyNumberFormat="1" applyFont="1" applyBorder="1"/>
    <xf numFmtId="166" fontId="41" fillId="0" borderId="15" xfId="0" applyNumberFormat="1" applyFont="1" applyFill="1" applyBorder="1" applyAlignment="1">
      <alignment horizontal="right" vertical="center"/>
    </xf>
    <xf numFmtId="166" fontId="41" fillId="0" borderId="13" xfId="0" applyNumberFormat="1" applyFont="1" applyFill="1" applyBorder="1" applyAlignment="1">
      <alignment horizontal="right" vertical="center"/>
    </xf>
    <xf numFmtId="0" fontId="41" fillId="0" borderId="0" xfId="0" applyFont="1" applyFill="1"/>
    <xf numFmtId="14" fontId="41" fillId="0" borderId="75" xfId="0" applyNumberFormat="1" applyFont="1" applyBorder="1" applyAlignment="1">
      <alignment horizontal="center"/>
    </xf>
    <xf numFmtId="0" fontId="41" fillId="0" borderId="76" xfId="2" applyFont="1" applyFill="1" applyBorder="1"/>
    <xf numFmtId="166" fontId="41" fillId="0" borderId="76" xfId="1" applyNumberFormat="1" applyFont="1" applyBorder="1"/>
    <xf numFmtId="166" fontId="41" fillId="0" borderId="156" xfId="1" applyNumberFormat="1" applyFont="1" applyBorder="1"/>
    <xf numFmtId="166" fontId="41" fillId="0" borderId="125" xfId="1" applyNumberFormat="1" applyFont="1" applyBorder="1"/>
    <xf numFmtId="166" fontId="41" fillId="0" borderId="177" xfId="1" applyNumberFormat="1" applyFont="1" applyBorder="1"/>
    <xf numFmtId="166" fontId="41" fillId="0" borderId="158" xfId="1" applyNumberFormat="1" applyFont="1" applyBorder="1"/>
    <xf numFmtId="166" fontId="41" fillId="0" borderId="82" xfId="1" applyNumberFormat="1" applyFont="1" applyBorder="1"/>
    <xf numFmtId="0" fontId="42" fillId="0" borderId="0" xfId="0" applyFont="1"/>
    <xf numFmtId="14" fontId="41" fillId="0" borderId="66" xfId="0" applyNumberFormat="1" applyFont="1" applyBorder="1" applyAlignment="1">
      <alignment horizontal="center"/>
    </xf>
    <xf numFmtId="0" fontId="41" fillId="0" borderId="67" xfId="2" applyFont="1" applyFill="1" applyBorder="1"/>
    <xf numFmtId="166" fontId="41" fillId="0" borderId="67" xfId="1" applyNumberFormat="1" applyFont="1" applyBorder="1"/>
    <xf numFmtId="166" fontId="41" fillId="0" borderId="129" xfId="1" applyNumberFormat="1" applyFont="1" applyBorder="1"/>
    <xf numFmtId="166" fontId="41" fillId="0" borderId="138" xfId="1" applyNumberFormat="1" applyFont="1" applyBorder="1"/>
    <xf numFmtId="166" fontId="41" fillId="0" borderId="154" xfId="1" applyNumberFormat="1" applyFont="1" applyBorder="1"/>
    <xf numFmtId="166" fontId="41" fillId="0" borderId="153" xfId="1" applyNumberFormat="1" applyFont="1" applyBorder="1"/>
    <xf numFmtId="166" fontId="41" fillId="0" borderId="74" xfId="1" applyNumberFormat="1" applyFont="1" applyBorder="1"/>
    <xf numFmtId="166" fontId="2" fillId="0" borderId="136" xfId="1" applyNumberFormat="1" applyFont="1" applyFill="1" applyBorder="1"/>
    <xf numFmtId="166" fontId="2" fillId="0" borderId="151" xfId="1" applyNumberFormat="1" applyFont="1" applyFill="1" applyBorder="1"/>
    <xf numFmtId="166" fontId="2" fillId="0" borderId="88" xfId="1" applyNumberFormat="1" applyFont="1" applyBorder="1"/>
    <xf numFmtId="166" fontId="2" fillId="0" borderId="113" xfId="1" applyNumberFormat="1" applyFont="1" applyBorder="1"/>
    <xf numFmtId="166" fontId="2" fillId="0" borderId="160" xfId="1" applyNumberFormat="1" applyFont="1" applyBorder="1"/>
    <xf numFmtId="166" fontId="2" fillId="0" borderId="35" xfId="1" applyNumberFormat="1" applyFont="1" applyBorder="1"/>
    <xf numFmtId="166" fontId="2" fillId="0" borderId="61" xfId="1" applyNumberFormat="1" applyFont="1" applyFill="1" applyBorder="1"/>
    <xf numFmtId="166" fontId="2" fillId="5" borderId="117" xfId="1" applyNumberFormat="1" applyFont="1" applyFill="1" applyBorder="1"/>
    <xf numFmtId="166" fontId="2" fillId="0" borderId="137" xfId="1" applyNumberFormat="1" applyFont="1" applyFill="1" applyBorder="1"/>
    <xf numFmtId="166" fontId="2" fillId="0" borderId="62" xfId="1" applyNumberFormat="1" applyFont="1" applyFill="1" applyBorder="1"/>
    <xf numFmtId="166" fontId="2" fillId="0" borderId="174" xfId="1" applyNumberFormat="1" applyFont="1" applyBorder="1"/>
    <xf numFmtId="166" fontId="2" fillId="0" borderId="89" xfId="1" applyNumberFormat="1" applyFont="1" applyBorder="1"/>
    <xf numFmtId="6" fontId="0" fillId="0" borderId="0" xfId="0" applyNumberFormat="1"/>
    <xf numFmtId="166" fontId="19" fillId="0" borderId="67" xfId="1" applyNumberFormat="1" applyFont="1" applyBorder="1"/>
    <xf numFmtId="166" fontId="19" fillId="0" borderId="129" xfId="1" applyNumberFormat="1" applyFont="1" applyBorder="1"/>
    <xf numFmtId="166" fontId="19" fillId="0" borderId="138" xfId="1" applyNumberFormat="1" applyFont="1" applyBorder="1"/>
    <xf numFmtId="166" fontId="19" fillId="0" borderId="137" xfId="1" applyNumberFormat="1" applyFont="1" applyBorder="1"/>
    <xf numFmtId="166" fontId="19" fillId="0" borderId="153" xfId="1" applyNumberFormat="1" applyFont="1" applyBorder="1"/>
    <xf numFmtId="166" fontId="19" fillId="0" borderId="62" xfId="1" applyNumberFormat="1" applyFont="1" applyBorder="1"/>
    <xf numFmtId="166" fontId="2" fillId="4" borderId="138" xfId="1" applyNumberFormat="1" applyFont="1" applyFill="1" applyBorder="1"/>
    <xf numFmtId="166" fontId="2" fillId="4" borderId="153" xfId="1" applyNumberFormat="1" applyFont="1" applyFill="1" applyBorder="1"/>
    <xf numFmtId="168" fontId="2" fillId="0" borderId="27" xfId="0" applyNumberFormat="1" applyFont="1" applyFill="1" applyBorder="1" applyAlignment="1">
      <alignment horizontal="center" vertical="center" wrapText="1"/>
    </xf>
    <xf numFmtId="168" fontId="2" fillId="0" borderId="3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29" fillId="0" borderId="1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8" xfId="0" applyFont="1" applyFill="1" applyBorder="1" applyAlignment="1">
      <alignment horizontal="center" vertical="center" wrapText="1"/>
    </xf>
    <xf numFmtId="49" fontId="29" fillId="0" borderId="34" xfId="0" applyNumberFormat="1" applyFont="1" applyFill="1" applyBorder="1" applyAlignment="1">
      <alignment horizontal="center" vertical="center" wrapText="1"/>
    </xf>
    <xf numFmtId="49" fontId="29" fillId="0" borderId="35" xfId="0" applyNumberFormat="1" applyFont="1" applyFill="1" applyBorder="1" applyAlignment="1">
      <alignment horizontal="center" vertical="center" wrapText="1"/>
    </xf>
    <xf numFmtId="49" fontId="29" fillId="0" borderId="10"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166" fontId="21" fillId="0" borderId="15" xfId="0" applyNumberFormat="1" applyFont="1" applyFill="1" applyBorder="1" applyAlignment="1">
      <alignment horizontal="center" wrapText="1"/>
    </xf>
    <xf numFmtId="166" fontId="2" fillId="0" borderId="15" xfId="0" applyNumberFormat="1" applyFont="1" applyFill="1" applyBorder="1" applyAlignment="1">
      <alignment horizontal="center" wrapText="1"/>
    </xf>
    <xf numFmtId="166" fontId="2" fillId="0" borderId="11" xfId="0" applyNumberFormat="1" applyFont="1" applyFill="1" applyBorder="1" applyAlignment="1">
      <alignment horizont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8" xfId="0" applyFont="1" applyFill="1" applyBorder="1" applyAlignment="1">
      <alignment horizontal="center" vertical="center" wrapText="1"/>
    </xf>
    <xf numFmtId="166" fontId="21" fillId="0" borderId="23" xfId="0" applyNumberFormat="1" applyFont="1" applyFill="1" applyBorder="1" applyAlignment="1">
      <alignment horizontal="center" vertical="center" wrapText="1"/>
    </xf>
    <xf numFmtId="166" fontId="21" fillId="0" borderId="24" xfId="0" applyNumberFormat="1" applyFont="1" applyFill="1" applyBorder="1" applyAlignment="1">
      <alignment horizontal="center" vertical="center" wrapText="1"/>
    </xf>
    <xf numFmtId="168" fontId="2" fillId="0" borderId="32" xfId="1" applyNumberFormat="1" applyFont="1" applyFill="1" applyBorder="1" applyAlignment="1">
      <alignment horizontal="center" vertical="center"/>
    </xf>
    <xf numFmtId="168" fontId="2" fillId="0" borderId="10" xfId="1" applyNumberFormat="1" applyFont="1" applyFill="1" applyBorder="1" applyAlignment="1">
      <alignment horizontal="center" vertical="center"/>
    </xf>
    <xf numFmtId="168" fontId="2" fillId="0" borderId="32" xfId="0" applyNumberFormat="1" applyFont="1" applyFill="1" applyBorder="1" applyAlignment="1">
      <alignment horizontal="center" vertical="center"/>
    </xf>
    <xf numFmtId="168" fontId="2" fillId="0" borderId="10" xfId="0" applyNumberFormat="1" applyFont="1" applyFill="1" applyBorder="1" applyAlignment="1">
      <alignment horizontal="center" vertical="center"/>
    </xf>
    <xf numFmtId="8" fontId="2" fillId="0" borderId="86" xfId="0" applyNumberFormat="1" applyFont="1" applyFill="1" applyBorder="1" applyAlignment="1">
      <alignment horizontal="center" vertical="center" wrapText="1"/>
    </xf>
    <xf numFmtId="8" fontId="2" fillId="0" borderId="22" xfId="0" applyNumberFormat="1" applyFont="1" applyFill="1" applyBorder="1" applyAlignment="1">
      <alignment horizontal="center" vertical="center" wrapText="1"/>
    </xf>
    <xf numFmtId="8" fontId="21" fillId="0" borderId="5" xfId="0" applyNumberFormat="1" applyFont="1" applyFill="1" applyBorder="1" applyAlignment="1">
      <alignment horizontal="center" vertical="center" wrapText="1"/>
    </xf>
    <xf numFmtId="8" fontId="21"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8" fontId="2" fillId="0" borderId="10" xfId="0" applyNumberFormat="1" applyFont="1" applyFill="1" applyBorder="1" applyAlignment="1">
      <alignment horizontal="center" vertical="center" wrapText="1"/>
    </xf>
    <xf numFmtId="168" fontId="2" fillId="0" borderId="36" xfId="0" applyNumberFormat="1"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8" fillId="0" borderId="0" xfId="0" applyFont="1" applyAlignment="1">
      <alignment horizontal="center" vertical="center" wrapText="1"/>
    </xf>
    <xf numFmtId="168" fontId="2" fillId="0" borderId="33" xfId="0" applyNumberFormat="1" applyFont="1" applyFill="1" applyBorder="1" applyAlignment="1">
      <alignment horizontal="center" vertical="center"/>
    </xf>
    <xf numFmtId="168" fontId="2" fillId="0" borderId="34" xfId="1" applyNumberFormat="1" applyFont="1" applyFill="1" applyBorder="1" applyAlignment="1">
      <alignment horizontal="center" vertical="center" wrapText="1"/>
    </xf>
    <xf numFmtId="168" fontId="2" fillId="0" borderId="36" xfId="1" applyNumberFormat="1" applyFont="1" applyFill="1" applyBorder="1" applyAlignment="1">
      <alignment horizontal="center" vertical="center" wrapText="1"/>
    </xf>
    <xf numFmtId="0" fontId="7" fillId="0" borderId="0" xfId="0" applyFont="1" applyAlignment="1">
      <alignment horizontal="left"/>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2" fillId="0" borderId="100" xfId="0" applyFont="1" applyFill="1" applyBorder="1" applyAlignment="1">
      <alignment horizontal="center" vertical="center" wrapText="1"/>
    </xf>
    <xf numFmtId="0" fontId="2" fillId="0" borderId="101" xfId="0" applyFont="1" applyFill="1" applyBorder="1" applyAlignment="1">
      <alignment horizontal="center" vertical="center" wrapText="1"/>
    </xf>
    <xf numFmtId="0" fontId="20" fillId="0" borderId="0" xfId="0" applyFont="1" applyBorder="1" applyAlignment="1">
      <alignment horizontal="center" vertical="center" wrapText="1"/>
    </xf>
    <xf numFmtId="0" fontId="20" fillId="0" borderId="2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1" fillId="0" borderId="13"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9" borderId="86" xfId="0" applyFont="1" applyFill="1" applyBorder="1" applyAlignment="1">
      <alignment horizontal="center" vertical="center" wrapText="1"/>
    </xf>
    <xf numFmtId="0" fontId="21" fillId="9" borderId="22" xfId="0" applyFont="1" applyFill="1" applyBorder="1" applyAlignment="1">
      <alignment horizontal="center" vertical="center" wrapText="1"/>
    </xf>
    <xf numFmtId="0" fontId="26" fillId="8" borderId="0" xfId="0" applyFont="1" applyFill="1" applyAlignment="1">
      <alignment horizontal="left" wrapText="1"/>
    </xf>
    <xf numFmtId="0" fontId="0" fillId="0" borderId="108" xfId="0" applyBorder="1" applyAlignment="1">
      <alignment horizontal="center"/>
    </xf>
    <xf numFmtId="0" fontId="0" fillId="0" borderId="109" xfId="0" applyBorder="1" applyAlignment="1">
      <alignment horizontal="center"/>
    </xf>
    <xf numFmtId="0" fontId="0" fillId="0" borderId="110" xfId="0" applyBorder="1" applyAlignment="1">
      <alignment horizontal="center"/>
    </xf>
    <xf numFmtId="0" fontId="0" fillId="0" borderId="0" xfId="0" applyBorder="1" applyAlignment="1">
      <alignment horizontal="left"/>
    </xf>
    <xf numFmtId="0" fontId="0" fillId="0" borderId="3" xfId="0" applyBorder="1" applyAlignment="1">
      <alignment horizontal="left"/>
    </xf>
    <xf numFmtId="0" fontId="0" fillId="0" borderId="0" xfId="0" applyAlignment="1">
      <alignment horizontal="left" wrapText="1"/>
    </xf>
    <xf numFmtId="0" fontId="0" fillId="0" borderId="106" xfId="0" applyBorder="1" applyAlignment="1">
      <alignment horizontal="center"/>
    </xf>
    <xf numFmtId="0" fontId="0" fillId="0" borderId="107" xfId="0" applyBorder="1" applyAlignment="1">
      <alignment horizontal="center"/>
    </xf>
    <xf numFmtId="0" fontId="14" fillId="0" borderId="0" xfId="0" applyFont="1" applyAlignment="1">
      <alignment horizontal="left" vertical="top" wrapText="1"/>
    </xf>
    <xf numFmtId="8" fontId="11" fillId="6" borderId="0" xfId="0" applyNumberFormat="1" applyFont="1" applyFill="1" applyAlignment="1">
      <alignment horizontal="center"/>
    </xf>
    <xf numFmtId="169" fontId="11" fillId="0" borderId="0" xfId="0" applyNumberFormat="1" applyFont="1" applyAlignment="1">
      <alignment horizontal="center"/>
    </xf>
    <xf numFmtId="8" fontId="11" fillId="0" borderId="0" xfId="0" applyNumberFormat="1" applyFont="1" applyAlignment="1">
      <alignment horizontal="center"/>
    </xf>
    <xf numFmtId="0" fontId="0" fillId="0" borderId="111" xfId="0" applyBorder="1" applyAlignment="1">
      <alignment horizontal="left"/>
    </xf>
    <xf numFmtId="0" fontId="0" fillId="0" borderId="105" xfId="0" applyBorder="1" applyAlignment="1">
      <alignment horizontal="left"/>
    </xf>
    <xf numFmtId="166" fontId="7" fillId="0" borderId="44" xfId="0" applyNumberFormat="1" applyFont="1" applyBorder="1" applyAlignment="1">
      <alignment horizontal="center" wrapText="1"/>
    </xf>
    <xf numFmtId="166" fontId="8" fillId="0" borderId="44" xfId="0" applyNumberFormat="1" applyFont="1" applyBorder="1" applyAlignment="1">
      <alignment horizontal="center" wrapText="1"/>
    </xf>
    <xf numFmtId="166" fontId="8" fillId="0" borderId="41" xfId="0" applyNumberFormat="1" applyFont="1" applyBorder="1" applyAlignment="1">
      <alignment horizontal="center" wrapText="1"/>
    </xf>
    <xf numFmtId="0" fontId="8" fillId="0" borderId="0" xfId="0" applyFont="1" applyBorder="1" applyAlignment="1" applyProtection="1">
      <alignment horizontal="center"/>
    </xf>
    <xf numFmtId="0" fontId="8" fillId="0" borderId="1" xfId="0" applyFont="1" applyBorder="1" applyAlignment="1" applyProtection="1">
      <alignment horizontal="center"/>
    </xf>
    <xf numFmtId="0" fontId="8" fillId="0" borderId="3" xfId="0" applyFont="1" applyBorder="1" applyAlignment="1" applyProtection="1">
      <alignment horizontal="center"/>
    </xf>
    <xf numFmtId="0" fontId="8" fillId="0" borderId="6" xfId="0" applyFont="1" applyBorder="1" applyAlignment="1" applyProtection="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197" xfId="0" applyBorder="1" applyAlignment="1">
      <alignment horizontal="center"/>
    </xf>
    <xf numFmtId="0" fontId="0" fillId="0" borderId="119" xfId="0" applyBorder="1" applyAlignment="1">
      <alignment horizontal="center"/>
    </xf>
    <xf numFmtId="0" fontId="0" fillId="0" borderId="131" xfId="0" applyBorder="1" applyAlignment="1">
      <alignment horizontal="center"/>
    </xf>
    <xf numFmtId="0" fontId="0" fillId="0" borderId="132" xfId="0" applyBorder="1" applyAlignment="1">
      <alignment horizontal="center"/>
    </xf>
    <xf numFmtId="0" fontId="8" fillId="0" borderId="97" xfId="0" applyFont="1" applyBorder="1" applyAlignment="1">
      <alignment horizontal="center" wrapText="1"/>
    </xf>
    <xf numFmtId="0" fontId="8" fillId="0" borderId="163" xfId="0" applyFont="1" applyBorder="1" applyAlignment="1">
      <alignment horizontal="center" wrapText="1"/>
    </xf>
    <xf numFmtId="0" fontId="8" fillId="0" borderId="161" xfId="0" applyFont="1" applyBorder="1" applyAlignment="1">
      <alignment horizontal="center" wrapText="1"/>
    </xf>
    <xf numFmtId="0" fontId="8" fillId="0" borderId="164" xfId="0" applyFont="1" applyBorder="1" applyAlignment="1">
      <alignment horizontal="center" wrapText="1"/>
    </xf>
    <xf numFmtId="0" fontId="8" fillId="0" borderId="162" xfId="0" applyFont="1" applyBorder="1" applyAlignment="1">
      <alignment horizontal="center" wrapText="1"/>
    </xf>
    <xf numFmtId="0" fontId="8" fillId="0" borderId="165" xfId="0" applyFont="1" applyBorder="1" applyAlignment="1">
      <alignment horizontal="center" wrapText="1"/>
    </xf>
    <xf numFmtId="0" fontId="0" fillId="0" borderId="128" xfId="0" applyBorder="1" applyAlignment="1">
      <alignment horizontal="center"/>
    </xf>
    <xf numFmtId="0" fontId="0" fillId="0" borderId="162" xfId="0" applyBorder="1" applyAlignment="1">
      <alignment horizontal="center"/>
    </xf>
    <xf numFmtId="14" fontId="2" fillId="0" borderId="35" xfId="0" applyNumberFormat="1" applyFont="1" applyBorder="1" applyAlignment="1">
      <alignment horizontal="center" vertical="center"/>
    </xf>
    <xf numFmtId="14" fontId="2" fillId="0" borderId="5" xfId="0" applyNumberFormat="1" applyFont="1" applyBorder="1" applyAlignment="1">
      <alignment horizontal="center" vertical="center"/>
    </xf>
    <xf numFmtId="14" fontId="2" fillId="0" borderId="2" xfId="0" applyNumberFormat="1" applyFont="1" applyBorder="1" applyAlignment="1">
      <alignment horizontal="center" vertical="center"/>
    </xf>
    <xf numFmtId="14" fontId="2" fillId="0" borderId="83" xfId="0" applyNumberFormat="1" applyFont="1" applyBorder="1" applyAlignment="1">
      <alignment horizontal="center" vertical="center"/>
    </xf>
    <xf numFmtId="14" fontId="2" fillId="0" borderId="63" xfId="0" applyNumberFormat="1" applyFont="1" applyBorder="1" applyAlignment="1">
      <alignment horizontal="center" vertical="center"/>
    </xf>
    <xf numFmtId="14" fontId="2" fillId="0" borderId="69" xfId="0" applyNumberFormat="1" applyFont="1" applyBorder="1" applyAlignment="1">
      <alignment horizontal="center" vertical="center"/>
    </xf>
    <xf numFmtId="0" fontId="8" fillId="0" borderId="166" xfId="0" applyFont="1" applyBorder="1" applyAlignment="1">
      <alignment horizontal="center" wrapText="1"/>
    </xf>
    <xf numFmtId="0" fontId="8" fillId="0" borderId="167" xfId="0" applyFont="1" applyBorder="1" applyAlignment="1">
      <alignment horizontal="center" wrapText="1"/>
    </xf>
    <xf numFmtId="0" fontId="0" fillId="0" borderId="0" xfId="0" applyAlignment="1">
      <alignment horizontal="center" vertical="top" wrapText="1"/>
    </xf>
    <xf numFmtId="0" fontId="8" fillId="0" borderId="108" xfId="0" applyFont="1" applyBorder="1" applyAlignment="1">
      <alignment horizontal="center" wrapText="1"/>
    </xf>
    <xf numFmtId="0" fontId="8" fillId="0" borderId="142" xfId="0" applyFont="1" applyBorder="1" applyAlignment="1">
      <alignment horizontal="center" wrapText="1"/>
    </xf>
    <xf numFmtId="0" fontId="8" fillId="0" borderId="109" xfId="0" applyFont="1" applyBorder="1" applyAlignment="1">
      <alignment horizontal="center" wrapText="1"/>
    </xf>
    <xf numFmtId="0" fontId="8" fillId="0" borderId="143" xfId="0" applyFont="1" applyBorder="1" applyAlignment="1">
      <alignment horizontal="center" wrapText="1"/>
    </xf>
    <xf numFmtId="0" fontId="8" fillId="0" borderId="132" xfId="0" applyFont="1" applyBorder="1" applyAlignment="1">
      <alignment horizontal="center" wrapText="1"/>
    </xf>
    <xf numFmtId="0" fontId="8" fillId="0" borderId="144" xfId="0" applyFont="1" applyBorder="1" applyAlignment="1">
      <alignment horizontal="center" wrapText="1"/>
    </xf>
    <xf numFmtId="14" fontId="2" fillId="0" borderId="98" xfId="0" applyNumberFormat="1" applyFont="1" applyBorder="1" applyAlignment="1">
      <alignment horizontal="center" vertical="center"/>
    </xf>
    <xf numFmtId="14" fontId="2" fillId="0" borderId="85" xfId="0" applyNumberFormat="1" applyFont="1" applyBorder="1" applyAlignment="1">
      <alignment horizontal="center" vertical="center"/>
    </xf>
    <xf numFmtId="14" fontId="2" fillId="3" borderId="83" xfId="0" applyNumberFormat="1" applyFont="1" applyFill="1" applyBorder="1" applyAlignment="1">
      <alignment horizontal="center" vertical="center"/>
    </xf>
    <xf numFmtId="14" fontId="2" fillId="3" borderId="69" xfId="0" applyNumberFormat="1" applyFont="1" applyFill="1" applyBorder="1" applyAlignment="1">
      <alignment horizontal="center" vertical="center"/>
    </xf>
    <xf numFmtId="14" fontId="2" fillId="0" borderId="97" xfId="0" applyNumberFormat="1" applyFont="1" applyFill="1" applyBorder="1" applyAlignment="1">
      <alignment horizontal="center" vertical="center"/>
    </xf>
    <xf numFmtId="14" fontId="2" fillId="0" borderId="41" xfId="0" applyNumberFormat="1" applyFont="1" applyFill="1" applyBorder="1" applyAlignment="1">
      <alignment horizontal="center" vertical="center"/>
    </xf>
    <xf numFmtId="14" fontId="2" fillId="0" borderId="84" xfId="0" applyNumberFormat="1" applyFont="1" applyBorder="1" applyAlignment="1">
      <alignment horizontal="center" vertical="center"/>
    </xf>
    <xf numFmtId="0" fontId="23" fillId="0" borderId="0" xfId="0" applyFont="1" applyAlignment="1">
      <alignment horizontal="center"/>
    </xf>
  </cellXfs>
  <cellStyles count="11">
    <cellStyle name="Currency" xfId="1" builtinId="4"/>
    <cellStyle name="Hyperlink" xfId="3" builtinId="8"/>
    <cellStyle name="Normal" xfId="0" builtinId="0"/>
    <cellStyle name="Normal 2" xfId="2" xr:uid="{00000000-0005-0000-0000-000002000000}"/>
    <cellStyle name="Normal 2 2" xfId="5" xr:uid="{3240F9F8-EDB8-493F-846B-84C6C1B78488}"/>
    <cellStyle name="Normal 3" xfId="4" xr:uid="{0C70622E-DBC0-4C0D-952B-8D26FA3E3473}"/>
    <cellStyle name="Normal 3 2" xfId="7" xr:uid="{E48C26A5-58C5-4229-9D15-C76C47595547}"/>
    <cellStyle name="Normal 3 3" xfId="8" xr:uid="{4D004AD9-A610-40F4-882E-06230FF99582}"/>
    <cellStyle name="Normal 3 3 2" xfId="10" xr:uid="{B85A2B54-1EFC-493C-A554-FBD14458670D}"/>
    <cellStyle name="Normal 3 4" xfId="9" xr:uid="{11D3A822-2D67-41F9-8E68-3AC20DB33F04}"/>
    <cellStyle name="Percent 2" xfId="6" xr:uid="{317030EB-8444-4276-985D-439FC0BAB795}"/>
  </cellStyles>
  <dxfs count="1">
    <dxf>
      <fill>
        <patternFill>
          <bgColor rgb="FFFFFF00"/>
        </patternFill>
      </fill>
    </dxf>
  </dxfs>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calcChain" Target="calcChain.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FF82F-8B07-459C-BDCE-EA8CC3DF45E0}">
  <sheetPr>
    <pageSetUpPr fitToPage="1"/>
  </sheetPr>
  <dimension ref="A1:BD114"/>
  <sheetViews>
    <sheetView tabSelected="1" zoomScale="90" zoomScaleNormal="90" workbookViewId="0">
      <pane xSplit="2" ySplit="4" topLeftCell="C5" activePane="bottomRight" state="frozen"/>
      <selection activeCell="G6" sqref="G6"/>
      <selection pane="topRight" activeCell="G6" sqref="G6"/>
      <selection pane="bottomLeft" activeCell="G6" sqref="G6"/>
      <selection pane="bottomRight" activeCell="K5" sqref="K5"/>
    </sheetView>
  </sheetViews>
  <sheetFormatPr defaultColWidth="9.140625" defaultRowHeight="11.25"/>
  <cols>
    <col min="1" max="1" width="16.42578125" style="17" bestFit="1" customWidth="1"/>
    <col min="2" max="2" width="5" style="305" bestFit="1" customWidth="1"/>
    <col min="3" max="3" width="14.42578125" style="306" bestFit="1" customWidth="1"/>
    <col min="4" max="4" width="16" style="306" bestFit="1" customWidth="1"/>
    <col min="5" max="5" width="16" style="306" customWidth="1"/>
    <col min="6" max="7" width="16" style="381" customWidth="1"/>
    <col min="8" max="9" width="16" style="311" customWidth="1"/>
    <col min="10" max="10" width="16.140625" style="308" customWidth="1"/>
    <col min="11" max="11" width="16.42578125" style="306" customWidth="1"/>
    <col min="12" max="12" width="15.28515625" style="366" bestFit="1" customWidth="1"/>
    <col min="13" max="13" width="19.5703125" style="363" bestFit="1" customWidth="1"/>
    <col min="14" max="15" width="15.7109375" style="306" bestFit="1" customWidth="1"/>
    <col min="16" max="16" width="15.28515625" style="364" hidden="1" customWidth="1"/>
    <col min="17" max="17" width="14.140625" style="364" hidden="1" customWidth="1"/>
    <col min="18" max="19" width="15" style="364" hidden="1" customWidth="1"/>
    <col min="20" max="20" width="17.7109375" style="313" customWidth="1"/>
    <col min="21" max="21" width="18.28515625" style="306" customWidth="1"/>
    <col min="22" max="22" width="17.85546875" style="365" customWidth="1"/>
    <col min="23" max="23" width="17.140625" style="365" customWidth="1"/>
    <col min="24" max="24" width="16.140625" style="310" customWidth="1"/>
    <col min="25" max="27" width="12.85546875" style="178" customWidth="1"/>
    <col min="28" max="29" width="12.85546875" style="27" hidden="1" customWidth="1"/>
    <col min="30" max="30" width="14.7109375" style="27" hidden="1" customWidth="1"/>
    <col min="31" max="31" width="13.140625" style="34" bestFit="1" customWidth="1"/>
    <col min="32" max="32" width="12.28515625" style="34" bestFit="1" customWidth="1"/>
    <col min="33" max="34" width="15" style="17" bestFit="1" customWidth="1"/>
    <col min="35" max="36" width="15.42578125" style="17" bestFit="1" customWidth="1"/>
    <col min="37" max="37" width="15.7109375" style="17" bestFit="1" customWidth="1"/>
    <col min="38" max="38" width="16" style="17" bestFit="1" customWidth="1"/>
    <col min="39" max="40" width="14.140625" style="31" bestFit="1" customWidth="1"/>
    <col min="41" max="42" width="14.85546875" style="17" bestFit="1" customWidth="1"/>
    <col min="43" max="44" width="15.28515625" style="17" bestFit="1" customWidth="1"/>
    <col min="45" max="45" width="14.140625" style="17" bestFit="1" customWidth="1"/>
    <col min="46" max="46" width="14.85546875" style="17" bestFit="1" customWidth="1"/>
    <col min="47" max="48" width="13.85546875" style="31" bestFit="1" customWidth="1"/>
    <col min="49" max="50" width="11.85546875" style="18" customWidth="1"/>
    <col min="51" max="51" width="14.42578125" style="17" bestFit="1" customWidth="1"/>
    <col min="52" max="52" width="14.140625" style="17" bestFit="1" customWidth="1"/>
    <col min="53" max="54" width="14.42578125" style="17" bestFit="1" customWidth="1"/>
    <col min="55" max="55" width="12.7109375" style="315" customWidth="1"/>
    <col min="56" max="56" width="74.42578125" style="17" bestFit="1" customWidth="1"/>
    <col min="57" max="16384" width="9.140625" style="17"/>
  </cols>
  <sheetData>
    <row r="1" spans="1:56" s="30" customFormat="1" ht="15">
      <c r="A1" s="915" t="s">
        <v>795</v>
      </c>
      <c r="B1" s="915"/>
      <c r="C1" s="915"/>
      <c r="D1" s="232" t="s">
        <v>107</v>
      </c>
      <c r="E1" s="233">
        <v>45957</v>
      </c>
      <c r="F1" s="382"/>
      <c r="G1" s="379"/>
      <c r="H1" s="289"/>
      <c r="I1" s="289"/>
      <c r="J1" s="390" t="s">
        <v>671</v>
      </c>
      <c r="K1" s="390" t="s">
        <v>671</v>
      </c>
      <c r="L1" s="332"/>
      <c r="M1" s="390" t="s">
        <v>671</v>
      </c>
      <c r="N1" s="332"/>
      <c r="O1" s="332"/>
      <c r="P1" s="333"/>
      <c r="Q1" s="333"/>
      <c r="R1" s="333"/>
      <c r="S1" s="333"/>
      <c r="T1" s="254"/>
      <c r="U1" s="332"/>
      <c r="V1" s="332"/>
      <c r="W1" s="390" t="s">
        <v>671</v>
      </c>
      <c r="X1" s="251"/>
      <c r="Y1" s="390" t="s">
        <v>671</v>
      </c>
      <c r="Z1" s="332"/>
      <c r="AA1" s="332"/>
      <c r="AB1" s="241" t="s">
        <v>600</v>
      </c>
      <c r="AC1" s="241" t="s">
        <v>673</v>
      </c>
      <c r="AD1" s="241" t="s">
        <v>601</v>
      </c>
      <c r="AE1" s="68"/>
      <c r="AF1" s="67"/>
      <c r="AG1" s="17"/>
      <c r="AH1" s="17"/>
      <c r="AI1" s="17"/>
      <c r="AJ1" s="17"/>
      <c r="AK1" s="17"/>
      <c r="AL1" s="17"/>
      <c r="AM1" s="31"/>
      <c r="AN1" s="31"/>
      <c r="AO1" s="17"/>
      <c r="AP1" s="17"/>
      <c r="AQ1" s="17"/>
      <c r="AR1" s="17"/>
      <c r="AS1" s="17"/>
      <c r="AT1" s="17"/>
      <c r="AU1" s="31"/>
      <c r="AV1" s="31"/>
      <c r="AW1" s="18"/>
      <c r="AX1" s="18"/>
      <c r="AY1" s="17"/>
      <c r="AZ1" s="17"/>
      <c r="BA1" s="17"/>
      <c r="BB1" s="17"/>
      <c r="BC1" s="19"/>
      <c r="BD1" s="17"/>
    </row>
    <row r="2" spans="1:56" s="62" customFormat="1" ht="27" customHeight="1">
      <c r="A2" s="916" t="s">
        <v>0</v>
      </c>
      <c r="B2" s="918" t="s">
        <v>1</v>
      </c>
      <c r="C2" s="920" t="s">
        <v>890</v>
      </c>
      <c r="D2" s="922"/>
      <c r="E2" s="922"/>
      <c r="F2" s="922"/>
      <c r="G2" s="922"/>
      <c r="H2" s="922"/>
      <c r="I2" s="922"/>
      <c r="J2" s="922"/>
      <c r="K2" s="923"/>
      <c r="L2" s="900" t="s">
        <v>787</v>
      </c>
      <c r="M2" s="902" t="s">
        <v>788</v>
      </c>
      <c r="N2" s="871" t="s">
        <v>789</v>
      </c>
      <c r="O2" s="904"/>
      <c r="P2" s="875" t="s">
        <v>346</v>
      </c>
      <c r="Q2" s="876"/>
      <c r="R2" s="876"/>
      <c r="S2" s="877"/>
      <c r="T2" s="882" t="s">
        <v>699</v>
      </c>
      <c r="U2" s="873" t="s">
        <v>792</v>
      </c>
      <c r="V2" s="892" t="s">
        <v>639</v>
      </c>
      <c r="W2" s="873" t="s">
        <v>675</v>
      </c>
      <c r="X2" s="894" t="s">
        <v>793</v>
      </c>
      <c r="Y2" s="885" t="s">
        <v>794</v>
      </c>
      <c r="Z2" s="887" t="s">
        <v>101</v>
      </c>
      <c r="AA2" s="885" t="s">
        <v>102</v>
      </c>
      <c r="AB2" s="907" t="s">
        <v>797</v>
      </c>
      <c r="AC2" s="889" t="s">
        <v>672</v>
      </c>
      <c r="AD2" s="909" t="s">
        <v>798</v>
      </c>
      <c r="AE2" s="911" t="s">
        <v>103</v>
      </c>
      <c r="AF2" s="911"/>
      <c r="AG2" s="911"/>
      <c r="AH2" s="911"/>
      <c r="AI2" s="911"/>
      <c r="AJ2" s="911"/>
      <c r="AK2" s="911"/>
      <c r="AL2" s="911"/>
      <c r="AM2" s="911"/>
      <c r="AN2" s="911"/>
      <c r="AO2" s="911"/>
      <c r="AP2" s="911"/>
      <c r="AQ2" s="911"/>
      <c r="AR2" s="911"/>
      <c r="AS2" s="911"/>
      <c r="AT2" s="911"/>
      <c r="AU2" s="911"/>
      <c r="AV2" s="911"/>
      <c r="AW2" s="911"/>
      <c r="AX2" s="911"/>
      <c r="AY2" s="911"/>
      <c r="AZ2" s="911"/>
      <c r="BA2" s="911"/>
      <c r="BB2" s="911"/>
      <c r="BC2" s="66"/>
      <c r="BD2" s="65"/>
    </row>
    <row r="3" spans="1:56" s="62" customFormat="1" ht="15" customHeight="1">
      <c r="A3" s="916"/>
      <c r="B3" s="918"/>
      <c r="C3" s="920"/>
      <c r="D3" s="885" t="s">
        <v>599</v>
      </c>
      <c r="E3" s="871" t="s">
        <v>533</v>
      </c>
      <c r="F3" s="885" t="s">
        <v>668</v>
      </c>
      <c r="G3" s="871" t="s">
        <v>638</v>
      </c>
      <c r="H3" s="926" t="s">
        <v>785</v>
      </c>
      <c r="I3" s="928" t="s">
        <v>889</v>
      </c>
      <c r="J3" s="924" t="s">
        <v>669</v>
      </c>
      <c r="K3" s="873" t="s">
        <v>670</v>
      </c>
      <c r="L3" s="900"/>
      <c r="M3" s="902"/>
      <c r="N3" s="885" t="s">
        <v>105</v>
      </c>
      <c r="O3" s="871" t="s">
        <v>106</v>
      </c>
      <c r="P3" s="878" t="s">
        <v>790</v>
      </c>
      <c r="Q3" s="879"/>
      <c r="R3" s="880" t="s">
        <v>791</v>
      </c>
      <c r="S3" s="881"/>
      <c r="T3" s="883"/>
      <c r="U3" s="873"/>
      <c r="V3" s="892"/>
      <c r="W3" s="873"/>
      <c r="X3" s="894"/>
      <c r="Y3" s="885"/>
      <c r="Z3" s="887"/>
      <c r="AA3" s="885"/>
      <c r="AB3" s="907"/>
      <c r="AC3" s="889"/>
      <c r="AD3" s="909"/>
      <c r="AE3" s="913">
        <v>45615</v>
      </c>
      <c r="AF3" s="914"/>
      <c r="AG3" s="905">
        <v>45643</v>
      </c>
      <c r="AH3" s="906"/>
      <c r="AI3" s="869">
        <v>45679</v>
      </c>
      <c r="AJ3" s="869"/>
      <c r="AK3" s="869">
        <v>45706</v>
      </c>
      <c r="AL3" s="869"/>
      <c r="AM3" s="869">
        <v>45734</v>
      </c>
      <c r="AN3" s="869"/>
      <c r="AO3" s="869">
        <v>45762</v>
      </c>
      <c r="AP3" s="869"/>
      <c r="AQ3" s="869">
        <v>45797</v>
      </c>
      <c r="AR3" s="869"/>
      <c r="AS3" s="869">
        <v>45825</v>
      </c>
      <c r="AT3" s="870"/>
      <c r="AU3" s="898">
        <v>45853</v>
      </c>
      <c r="AV3" s="899"/>
      <c r="AW3" s="896">
        <v>45888</v>
      </c>
      <c r="AX3" s="897"/>
      <c r="AY3" s="898">
        <v>45916</v>
      </c>
      <c r="AZ3" s="899"/>
      <c r="BA3" s="898">
        <v>45951</v>
      </c>
      <c r="BB3" s="912"/>
      <c r="BC3" s="64" t="s">
        <v>108</v>
      </c>
      <c r="BD3" s="63"/>
    </row>
    <row r="4" spans="1:56" s="48" customFormat="1" ht="19.5" customHeight="1">
      <c r="A4" s="917"/>
      <c r="B4" s="919"/>
      <c r="C4" s="921"/>
      <c r="D4" s="886"/>
      <c r="E4" s="872"/>
      <c r="F4" s="886"/>
      <c r="G4" s="872"/>
      <c r="H4" s="927"/>
      <c r="I4" s="929"/>
      <c r="J4" s="925"/>
      <c r="K4" s="891"/>
      <c r="L4" s="901"/>
      <c r="M4" s="903"/>
      <c r="N4" s="886"/>
      <c r="O4" s="872"/>
      <c r="P4" s="334" t="s">
        <v>104</v>
      </c>
      <c r="Q4" s="335" t="s">
        <v>106</v>
      </c>
      <c r="R4" s="336" t="s">
        <v>104</v>
      </c>
      <c r="S4" s="337" t="s">
        <v>106</v>
      </c>
      <c r="T4" s="884"/>
      <c r="U4" s="874"/>
      <c r="V4" s="893"/>
      <c r="W4" s="891"/>
      <c r="X4" s="895"/>
      <c r="Y4" s="886"/>
      <c r="Z4" s="888"/>
      <c r="AA4" s="886"/>
      <c r="AB4" s="908"/>
      <c r="AC4" s="890"/>
      <c r="AD4" s="910"/>
      <c r="AE4" s="61" t="s">
        <v>104</v>
      </c>
      <c r="AF4" s="60" t="s">
        <v>106</v>
      </c>
      <c r="AG4" s="57" t="s">
        <v>104</v>
      </c>
      <c r="AH4" s="50" t="s">
        <v>106</v>
      </c>
      <c r="AI4" s="59" t="s">
        <v>104</v>
      </c>
      <c r="AJ4" s="50" t="s">
        <v>106</v>
      </c>
      <c r="AK4" s="52" t="s">
        <v>104</v>
      </c>
      <c r="AL4" s="50" t="s">
        <v>106</v>
      </c>
      <c r="AM4" s="58" t="s">
        <v>104</v>
      </c>
      <c r="AN4" s="55" t="s">
        <v>106</v>
      </c>
      <c r="AO4" s="52" t="s">
        <v>104</v>
      </c>
      <c r="AP4" s="50" t="s">
        <v>106</v>
      </c>
      <c r="AQ4" s="51" t="s">
        <v>104</v>
      </c>
      <c r="AR4" s="50" t="s">
        <v>106</v>
      </c>
      <c r="AS4" s="57" t="s">
        <v>104</v>
      </c>
      <c r="AT4" s="50" t="s">
        <v>106</v>
      </c>
      <c r="AU4" s="56" t="s">
        <v>104</v>
      </c>
      <c r="AV4" s="55" t="s">
        <v>106</v>
      </c>
      <c r="AW4" s="54" t="s">
        <v>104</v>
      </c>
      <c r="AX4" s="53" t="s">
        <v>106</v>
      </c>
      <c r="AY4" s="52" t="s">
        <v>104</v>
      </c>
      <c r="AZ4" s="50" t="s">
        <v>106</v>
      </c>
      <c r="BA4" s="51" t="s">
        <v>104</v>
      </c>
      <c r="BB4" s="50" t="s">
        <v>106</v>
      </c>
      <c r="BC4" s="49" t="s">
        <v>109</v>
      </c>
      <c r="BD4" s="175"/>
    </row>
    <row r="5" spans="1:56" s="30" customFormat="1" ht="12.75">
      <c r="A5" s="97" t="s">
        <v>2</v>
      </c>
      <c r="B5" s="47">
        <v>1</v>
      </c>
      <c r="C5" s="245">
        <v>6.035334959123082E-3</v>
      </c>
      <c r="D5" s="238">
        <v>403405.62083582045</v>
      </c>
      <c r="E5" s="377">
        <v>83152.4570538267</v>
      </c>
      <c r="F5" s="596">
        <v>396081.37477400462</v>
      </c>
      <c r="G5" s="238">
        <v>80125.84</v>
      </c>
      <c r="H5" s="427">
        <v>381248.23</v>
      </c>
      <c r="I5" s="388">
        <f>$C5*Allocations!$B$16</f>
        <v>347318.62565551931</v>
      </c>
      <c r="J5" s="235">
        <f>SUM(D5:I5)</f>
        <v>1691332.148319171</v>
      </c>
      <c r="K5" s="165">
        <f>ROUND(AVERAGE((D5+E5),(F5+G5),H5,I5),2)</f>
        <v>422833.04</v>
      </c>
      <c r="L5" s="809">
        <v>625060.44999999995</v>
      </c>
      <c r="M5" s="425">
        <f>$L5+$I5</f>
        <v>972379.07565551926</v>
      </c>
      <c r="N5" s="237">
        <f t="shared" ref="N5:N36" si="0">AE5+AG5+AI5+AK5+AM5+AO5+AQ5+AS5+AU5+AW5+AY5+BA5+BC5</f>
        <v>0</v>
      </c>
      <c r="O5" s="238">
        <f t="shared" ref="O5:O36" si="1">AF5+AH5+AJ5+AL5+AN5+AP5+AR5+AT5+AV5+AX5+AZ5+BB5+BC5</f>
        <v>0</v>
      </c>
      <c r="P5" s="317"/>
      <c r="Q5" s="318"/>
      <c r="R5" s="318"/>
      <c r="S5" s="319"/>
      <c r="T5" s="328">
        <f>'Project Final Cost Tracking'!C4</f>
        <v>0</v>
      </c>
      <c r="U5" s="339">
        <f>$M5-$O5-$T5</f>
        <v>972379.07565551926</v>
      </c>
      <c r="V5" s="338">
        <f t="shared" ref="V5:V36" si="2">$U5/$K5</f>
        <v>2.2996761928905065</v>
      </c>
      <c r="W5" s="339">
        <f>(($I5)*4.5)+$U5</f>
        <v>2535312.8911053562</v>
      </c>
      <c r="X5" s="340">
        <f t="shared" ref="X5:X36" si="3">IF((($U5-$J5)-($Q5+$S5))&gt;0,(($U5-$J5)-($Q5+$S5)),0)</f>
        <v>0</v>
      </c>
      <c r="Y5" s="237">
        <f>IF($X5&gt;0,0,($H5))</f>
        <v>381248.23</v>
      </c>
      <c r="Z5" s="253">
        <f>IF($Y5&gt;0,$Y5/$Y$104,0)</f>
        <v>6.7377596647451646E-3</v>
      </c>
      <c r="AA5" s="238">
        <f t="shared" ref="AA5:AA36" si="4">IF($Z5&gt;0,$Z5*$X$104,0)</f>
        <v>5431.487764508498</v>
      </c>
      <c r="AB5" s="234">
        <f>ROUND($C5*Allocations!$B$16,2)</f>
        <v>347318.63</v>
      </c>
      <c r="AC5" s="239">
        <f>$C5*Allocations!$B$24</f>
        <v>0</v>
      </c>
      <c r="AD5" s="242">
        <f t="shared" ref="AD5:AD36" si="5">ROUND($L5+$AB5+$AC5+$AA5-$O5-$T5-$X5,2)</f>
        <v>977810.57</v>
      </c>
      <c r="AE5" s="153"/>
      <c r="AF5" s="141"/>
      <c r="AG5" s="151"/>
      <c r="AH5" s="147"/>
      <c r="AI5" s="145"/>
      <c r="AJ5" s="146"/>
      <c r="AK5" s="198"/>
      <c r="AL5" s="147"/>
      <c r="AM5" s="145"/>
      <c r="AN5" s="146"/>
      <c r="AO5" s="145"/>
      <c r="AP5" s="146"/>
      <c r="AQ5" s="145"/>
      <c r="AR5" s="147"/>
      <c r="AS5" s="145"/>
      <c r="AT5" s="147"/>
      <c r="AU5" s="145"/>
      <c r="AV5" s="147"/>
      <c r="AW5" s="148"/>
      <c r="AX5" s="141"/>
      <c r="AY5" s="145"/>
      <c r="AZ5" s="146"/>
      <c r="BA5" s="149"/>
      <c r="BB5" s="150"/>
      <c r="BC5" s="179"/>
      <c r="BD5" s="176"/>
    </row>
    <row r="6" spans="1:56" s="30" customFormat="1" ht="12.75">
      <c r="A6" s="97" t="s">
        <v>3</v>
      </c>
      <c r="B6" s="47">
        <v>2</v>
      </c>
      <c r="C6" s="245">
        <v>1.063171548625266E-2</v>
      </c>
      <c r="D6" s="237">
        <v>575890.93929647526</v>
      </c>
      <c r="E6" s="238">
        <v>118706.19575979386</v>
      </c>
      <c r="F6" s="597">
        <v>587846.59627570619</v>
      </c>
      <c r="G6" s="238">
        <v>118919.25</v>
      </c>
      <c r="H6" s="427">
        <v>581363.26</v>
      </c>
      <c r="I6" s="388">
        <f>$C6*Allocations!$B$16</f>
        <v>611828.97652830498</v>
      </c>
      <c r="J6" s="235">
        <f t="shared" ref="J6:J69" si="6">SUM(D6:I6)</f>
        <v>2594555.2178602801</v>
      </c>
      <c r="K6" s="165">
        <f t="shared" ref="K6:K69" si="7">ROUND(AVERAGE((D6+E6),(F6+G6),H6,I6),2)</f>
        <v>648638.80000000005</v>
      </c>
      <c r="L6" s="809">
        <v>1562515.16</v>
      </c>
      <c r="M6" s="425">
        <f t="shared" ref="M6:M69" si="8">$L6+$I6</f>
        <v>2174344.1365283048</v>
      </c>
      <c r="N6" s="237">
        <f t="shared" si="0"/>
        <v>0</v>
      </c>
      <c r="O6" s="238">
        <f t="shared" si="1"/>
        <v>0</v>
      </c>
      <c r="P6" s="317"/>
      <c r="Q6" s="318"/>
      <c r="R6" s="318"/>
      <c r="S6" s="319"/>
      <c r="T6" s="328">
        <f>'Project Final Cost Tracking'!C5</f>
        <v>0</v>
      </c>
      <c r="U6" s="339">
        <f t="shared" ref="U6:U69" si="9">$M6-$O6-$T6</f>
        <v>2174344.1365283048</v>
      </c>
      <c r="V6" s="338">
        <f t="shared" si="2"/>
        <v>3.3521647741829574</v>
      </c>
      <c r="W6" s="339">
        <f t="shared" ref="W6:W69" si="10">(($I6)*4.5)+$U6</f>
        <v>4927574.530905677</v>
      </c>
      <c r="X6" s="340">
        <f t="shared" si="3"/>
        <v>0</v>
      </c>
      <c r="Y6" s="237">
        <f t="shared" ref="Y6:Y69" si="11">IF($X6&gt;0,0,($H6))</f>
        <v>581363.26</v>
      </c>
      <c r="Z6" s="253">
        <f t="shared" ref="Z6:Z69" si="12">IF($Y6&gt;0,$Y6/$Y$104,0)</f>
        <v>1.0274371434571005E-2</v>
      </c>
      <c r="AA6" s="238">
        <f t="shared" si="4"/>
        <v>8282.4448350219845</v>
      </c>
      <c r="AB6" s="236">
        <f>ROUND($C6*Allocations!$B$16,2)</f>
        <v>611828.98</v>
      </c>
      <c r="AC6" s="239">
        <f>$C6*Allocations!$B$24</f>
        <v>0</v>
      </c>
      <c r="AD6" s="242">
        <f t="shared" si="5"/>
        <v>2182626.58</v>
      </c>
      <c r="AE6" s="153"/>
      <c r="AF6" s="141"/>
      <c r="AG6" s="151"/>
      <c r="AH6" s="146"/>
      <c r="AI6" s="145"/>
      <c r="AJ6" s="146"/>
      <c r="AK6" s="151"/>
      <c r="AL6" s="146"/>
      <c r="AM6" s="145"/>
      <c r="AN6" s="146"/>
      <c r="AO6" s="145"/>
      <c r="AP6" s="146"/>
      <c r="AQ6" s="145"/>
      <c r="AR6" s="146"/>
      <c r="AS6" s="145"/>
      <c r="AT6" s="146"/>
      <c r="AU6" s="145"/>
      <c r="AV6" s="146"/>
      <c r="AW6" s="148"/>
      <c r="AX6" s="141"/>
      <c r="AY6" s="151"/>
      <c r="AZ6" s="152"/>
      <c r="BA6" s="151"/>
      <c r="BB6" s="146"/>
      <c r="BC6" s="179"/>
      <c r="BD6" s="176"/>
    </row>
    <row r="7" spans="1:56" s="193" customFormat="1" ht="12.75">
      <c r="A7" s="191" t="s">
        <v>4</v>
      </c>
      <c r="B7" s="192">
        <v>3</v>
      </c>
      <c r="C7" s="245">
        <v>5.6144166874172487E-3</v>
      </c>
      <c r="D7" s="237">
        <v>398423.0445646813</v>
      </c>
      <c r="E7" s="238">
        <v>82125.417672112351</v>
      </c>
      <c r="F7" s="598">
        <v>339195.77345705783</v>
      </c>
      <c r="G7" s="238">
        <v>68618.09</v>
      </c>
      <c r="H7" s="427">
        <v>325999.40000000002</v>
      </c>
      <c r="I7" s="388">
        <f>$C7*Allocations!$B$16</f>
        <v>323095.81836606143</v>
      </c>
      <c r="J7" s="384">
        <f t="shared" si="6"/>
        <v>1537457.5440599129</v>
      </c>
      <c r="K7" s="165">
        <f t="shared" si="7"/>
        <v>384364.39</v>
      </c>
      <c r="L7" s="809">
        <v>-429735.75</v>
      </c>
      <c r="M7" s="425">
        <f t="shared" si="8"/>
        <v>-106639.93163393857</v>
      </c>
      <c r="N7" s="237">
        <f t="shared" si="0"/>
        <v>0</v>
      </c>
      <c r="O7" s="238">
        <f t="shared" si="1"/>
        <v>0</v>
      </c>
      <c r="P7" s="317"/>
      <c r="Q7" s="318"/>
      <c r="R7" s="318"/>
      <c r="S7" s="319"/>
      <c r="T7" s="328">
        <f>'Project Final Cost Tracking'!C6</f>
        <v>0</v>
      </c>
      <c r="U7" s="339">
        <f t="shared" si="9"/>
        <v>-106639.93163393857</v>
      </c>
      <c r="V7" s="338">
        <f t="shared" si="2"/>
        <v>-0.27744487889197689</v>
      </c>
      <c r="W7" s="339">
        <f t="shared" si="10"/>
        <v>1347291.2510133379</v>
      </c>
      <c r="X7" s="340">
        <f t="shared" si="3"/>
        <v>0</v>
      </c>
      <c r="Y7" s="237">
        <f t="shared" si="11"/>
        <v>325999.40000000002</v>
      </c>
      <c r="Z7" s="253">
        <f t="shared" si="12"/>
        <v>5.7613529328414854E-3</v>
      </c>
      <c r="AA7" s="238">
        <f t="shared" si="4"/>
        <v>4644.3802567610928</v>
      </c>
      <c r="AB7" s="237">
        <f>ROUND($C7*Allocations!$B$16,2)</f>
        <v>323095.82</v>
      </c>
      <c r="AC7" s="165">
        <f>$C7*Allocations!$B$24</f>
        <v>0</v>
      </c>
      <c r="AD7" s="243">
        <f t="shared" si="5"/>
        <v>-101995.55</v>
      </c>
      <c r="AE7" s="153"/>
      <c r="AF7" s="141"/>
      <c r="AG7" s="151"/>
      <c r="AH7" s="146"/>
      <c r="AI7" s="145"/>
      <c r="AJ7" s="146"/>
      <c r="AK7" s="151"/>
      <c r="AL7" s="146"/>
      <c r="AM7" s="145"/>
      <c r="AN7" s="146"/>
      <c r="AO7" s="145"/>
      <c r="AP7" s="146"/>
      <c r="AQ7" s="145"/>
      <c r="AR7" s="146"/>
      <c r="AS7" s="145"/>
      <c r="AT7" s="146"/>
      <c r="AU7" s="145"/>
      <c r="AV7" s="146"/>
      <c r="AW7" s="148"/>
      <c r="AX7" s="141"/>
      <c r="AY7" s="145"/>
      <c r="AZ7" s="146"/>
      <c r="BA7" s="149"/>
      <c r="BB7" s="150"/>
      <c r="BC7" s="179"/>
      <c r="BD7" s="176"/>
    </row>
    <row r="8" spans="1:56" s="30" customFormat="1" ht="12.75">
      <c r="A8" s="97" t="s">
        <v>5</v>
      </c>
      <c r="B8" s="47">
        <v>4</v>
      </c>
      <c r="C8" s="245">
        <v>1.271300522787119E-2</v>
      </c>
      <c r="D8" s="237">
        <v>543312.29422197316</v>
      </c>
      <c r="E8" s="238">
        <v>111990.88430772084</v>
      </c>
      <c r="F8" s="597">
        <v>735523.72706368018</v>
      </c>
      <c r="G8" s="238">
        <v>148793.81</v>
      </c>
      <c r="H8" s="427">
        <v>761725.65</v>
      </c>
      <c r="I8" s="388">
        <f>$C8*Allocations!$B$16</f>
        <v>731602.06245407939</v>
      </c>
      <c r="J8" s="235">
        <f t="shared" si="6"/>
        <v>3032948.4280474535</v>
      </c>
      <c r="K8" s="165">
        <f t="shared" si="7"/>
        <v>758237.11</v>
      </c>
      <c r="L8" s="809">
        <v>1222705.0900000001</v>
      </c>
      <c r="M8" s="425">
        <f t="shared" si="8"/>
        <v>1954307.1524540796</v>
      </c>
      <c r="N8" s="237">
        <f t="shared" si="0"/>
        <v>1223739.1499999999</v>
      </c>
      <c r="O8" s="238">
        <f t="shared" si="1"/>
        <v>1223739.1499999999</v>
      </c>
      <c r="P8" s="317"/>
      <c r="Q8" s="318"/>
      <c r="R8" s="318"/>
      <c r="S8" s="319"/>
      <c r="T8" s="328">
        <f>'Project Final Cost Tracking'!C7</f>
        <v>-13543.189999999944</v>
      </c>
      <c r="U8" s="339">
        <f t="shared" si="9"/>
        <v>744111.19245407963</v>
      </c>
      <c r="V8" s="338">
        <f t="shared" si="2"/>
        <v>0.98137005250782261</v>
      </c>
      <c r="W8" s="339">
        <f t="shared" si="10"/>
        <v>4036320.4734974368</v>
      </c>
      <c r="X8" s="340">
        <f t="shared" si="3"/>
        <v>0</v>
      </c>
      <c r="Y8" s="237">
        <f t="shared" si="11"/>
        <v>761725.65</v>
      </c>
      <c r="Z8" s="253">
        <f t="shared" si="12"/>
        <v>1.3461896885847294E-2</v>
      </c>
      <c r="AA8" s="238">
        <f t="shared" si="4"/>
        <v>10851.994113880301</v>
      </c>
      <c r="AB8" s="236">
        <f>ROUND($C8*Allocations!$B$16,2)</f>
        <v>731602.06</v>
      </c>
      <c r="AC8" s="239">
        <f>$C8*Allocations!$B$24</f>
        <v>0</v>
      </c>
      <c r="AD8" s="242">
        <f t="shared" si="5"/>
        <v>754963.18</v>
      </c>
      <c r="AE8" s="153"/>
      <c r="AF8" s="154"/>
      <c r="AG8" s="151">
        <f>Appanoose!C9</f>
        <v>1223739.1499999999</v>
      </c>
      <c r="AH8" s="146">
        <f>Appanoose!D9</f>
        <v>1223739.1499999999</v>
      </c>
      <c r="AI8" s="145"/>
      <c r="AJ8" s="146"/>
      <c r="AK8" s="151"/>
      <c r="AL8" s="146"/>
      <c r="AM8" s="164"/>
      <c r="AN8" s="146"/>
      <c r="AO8" s="145"/>
      <c r="AP8" s="146"/>
      <c r="AQ8" s="152"/>
      <c r="AR8" s="155"/>
      <c r="AS8" s="145"/>
      <c r="AT8" s="146"/>
      <c r="AU8" s="145"/>
      <c r="AV8" s="146"/>
      <c r="AW8" s="148"/>
      <c r="AX8" s="141"/>
      <c r="AY8" s="145"/>
      <c r="AZ8" s="146"/>
      <c r="BA8" s="149"/>
      <c r="BB8" s="150"/>
      <c r="BC8" s="179"/>
      <c r="BD8" s="176"/>
    </row>
    <row r="9" spans="1:56" s="30" customFormat="1" ht="12.75">
      <c r="A9" s="98" t="s">
        <v>6</v>
      </c>
      <c r="B9" s="46">
        <v>5</v>
      </c>
      <c r="C9" s="246">
        <v>5.1101060199187243E-3</v>
      </c>
      <c r="D9" s="303">
        <v>275350.51652813668</v>
      </c>
      <c r="E9" s="341">
        <v>56756.948385885808</v>
      </c>
      <c r="F9" s="595">
        <v>335263.20313078968</v>
      </c>
      <c r="G9" s="341">
        <v>67822.539999999994</v>
      </c>
      <c r="H9" s="428">
        <v>272705.39</v>
      </c>
      <c r="I9" s="389">
        <f>$C9*Allocations!$B$16</f>
        <v>294073.98459455941</v>
      </c>
      <c r="J9" s="385">
        <f t="shared" si="6"/>
        <v>1301972.5826393715</v>
      </c>
      <c r="K9" s="168">
        <f t="shared" si="7"/>
        <v>325493.15000000002</v>
      </c>
      <c r="L9" s="810">
        <v>-111023.63</v>
      </c>
      <c r="M9" s="426">
        <f t="shared" si="8"/>
        <v>183050.35459455941</v>
      </c>
      <c r="N9" s="303">
        <f t="shared" si="0"/>
        <v>0</v>
      </c>
      <c r="O9" s="341">
        <f t="shared" si="1"/>
        <v>0</v>
      </c>
      <c r="P9" s="342"/>
      <c r="Q9" s="343"/>
      <c r="R9" s="343"/>
      <c r="S9" s="344"/>
      <c r="T9" s="188">
        <f>'Project Final Cost Tracking'!C8</f>
        <v>0</v>
      </c>
      <c r="U9" s="346">
        <f t="shared" si="9"/>
        <v>183050.35459455941</v>
      </c>
      <c r="V9" s="345">
        <f t="shared" si="2"/>
        <v>0.56237851578307996</v>
      </c>
      <c r="W9" s="346">
        <f t="shared" si="10"/>
        <v>1506383.2852700767</v>
      </c>
      <c r="X9" s="347">
        <f t="shared" si="3"/>
        <v>0</v>
      </c>
      <c r="Y9" s="303">
        <f t="shared" si="11"/>
        <v>272705.39</v>
      </c>
      <c r="Z9" s="348">
        <f t="shared" si="12"/>
        <v>4.8194935281420182E-3</v>
      </c>
      <c r="AA9" s="341">
        <f t="shared" si="4"/>
        <v>3885.1222708640994</v>
      </c>
      <c r="AB9" s="231">
        <f>ROUND($C9*Allocations!$B$16,2)</f>
        <v>294073.98</v>
      </c>
      <c r="AC9" s="240">
        <f>$C9*Allocations!$B$24</f>
        <v>0</v>
      </c>
      <c r="AD9" s="244">
        <f t="shared" si="5"/>
        <v>186935.47</v>
      </c>
      <c r="AE9" s="162"/>
      <c r="AF9" s="159"/>
      <c r="AG9" s="174"/>
      <c r="AH9" s="157"/>
      <c r="AI9" s="156"/>
      <c r="AJ9" s="157"/>
      <c r="AK9" s="174"/>
      <c r="AL9" s="157"/>
      <c r="AM9" s="156"/>
      <c r="AN9" s="157"/>
      <c r="AO9" s="156"/>
      <c r="AP9" s="157"/>
      <c r="AQ9" s="156"/>
      <c r="AR9" s="157"/>
      <c r="AS9" s="156"/>
      <c r="AT9" s="157"/>
      <c r="AU9" s="156"/>
      <c r="AV9" s="157"/>
      <c r="AW9" s="158"/>
      <c r="AX9" s="159"/>
      <c r="AY9" s="156"/>
      <c r="AZ9" s="157"/>
      <c r="BA9" s="160"/>
      <c r="BB9" s="161"/>
      <c r="BC9" s="180"/>
      <c r="BD9" s="176"/>
    </row>
    <row r="10" spans="1:56" s="30" customFormat="1" ht="12.75">
      <c r="A10" s="97" t="s">
        <v>7</v>
      </c>
      <c r="B10" s="47">
        <v>6</v>
      </c>
      <c r="C10" s="245">
        <v>1.9966964639316177E-2</v>
      </c>
      <c r="D10" s="237">
        <v>1211607.0420866881</v>
      </c>
      <c r="E10" s="238">
        <v>249743.92355883948</v>
      </c>
      <c r="F10" s="597">
        <v>1196782.4137933981</v>
      </c>
      <c r="G10" s="238">
        <v>242104.78</v>
      </c>
      <c r="H10" s="427">
        <v>1069866.6000000001</v>
      </c>
      <c r="I10" s="388">
        <f>$C10*Allocations!$B$16</f>
        <v>1149049.5165569515</v>
      </c>
      <c r="J10" s="235">
        <f t="shared" si="6"/>
        <v>5119154.2759958766</v>
      </c>
      <c r="K10" s="165">
        <f t="shared" si="7"/>
        <v>1279788.57</v>
      </c>
      <c r="L10" s="809">
        <v>4300813.4800000004</v>
      </c>
      <c r="M10" s="425">
        <f t="shared" si="8"/>
        <v>5449862.9965569517</v>
      </c>
      <c r="N10" s="237">
        <f t="shared" si="0"/>
        <v>821577.71</v>
      </c>
      <c r="O10" s="238">
        <f t="shared" si="1"/>
        <v>821577.71</v>
      </c>
      <c r="P10" s="317"/>
      <c r="Q10" s="318"/>
      <c r="R10" s="318"/>
      <c r="S10" s="319"/>
      <c r="T10" s="328">
        <f>'Project Final Cost Tracking'!C9</f>
        <v>0</v>
      </c>
      <c r="U10" s="339">
        <f t="shared" si="9"/>
        <v>4628285.2865569517</v>
      </c>
      <c r="V10" s="338">
        <f t="shared" si="2"/>
        <v>3.6164452434177869</v>
      </c>
      <c r="W10" s="339">
        <f t="shared" si="10"/>
        <v>9799008.1110632345</v>
      </c>
      <c r="X10" s="340">
        <f t="shared" si="3"/>
        <v>0</v>
      </c>
      <c r="Y10" s="237">
        <f t="shared" si="11"/>
        <v>1069866.6000000001</v>
      </c>
      <c r="Z10" s="253">
        <f t="shared" si="12"/>
        <v>1.8907639319763005E-2</v>
      </c>
      <c r="AA10" s="238">
        <f t="shared" si="4"/>
        <v>15241.95232999851</v>
      </c>
      <c r="AB10" s="236">
        <f>ROUND($C10*Allocations!$B$16,2)</f>
        <v>1149049.52</v>
      </c>
      <c r="AC10" s="239">
        <f>$C10*Allocations!$B$24</f>
        <v>0</v>
      </c>
      <c r="AD10" s="242">
        <f t="shared" si="5"/>
        <v>4643527.24</v>
      </c>
      <c r="AE10" s="153">
        <f>Benton!C18</f>
        <v>459494.21</v>
      </c>
      <c r="AF10" s="141">
        <f>Benton!D18</f>
        <v>459494.21</v>
      </c>
      <c r="AG10" s="151"/>
      <c r="AH10" s="146"/>
      <c r="AI10" s="145"/>
      <c r="AJ10" s="146"/>
      <c r="AK10" s="151"/>
      <c r="AL10" s="146"/>
      <c r="AM10" s="145"/>
      <c r="AN10" s="146"/>
      <c r="AO10" s="145">
        <f>Benton!C19</f>
        <v>362083.5</v>
      </c>
      <c r="AP10" s="146">
        <f>Benton!D19</f>
        <v>362083.5</v>
      </c>
      <c r="AQ10" s="145"/>
      <c r="AR10" s="146"/>
      <c r="AS10" s="145"/>
      <c r="AT10" s="146"/>
      <c r="AU10" s="145"/>
      <c r="AV10" s="146"/>
      <c r="AW10" s="148"/>
      <c r="AX10" s="141"/>
      <c r="AY10" s="145"/>
      <c r="AZ10" s="146"/>
      <c r="BA10" s="145"/>
      <c r="BB10" s="150"/>
      <c r="BC10" s="179"/>
      <c r="BD10" s="176"/>
    </row>
    <row r="11" spans="1:56" s="30" customFormat="1" ht="12.75">
      <c r="A11" s="97" t="s">
        <v>8</v>
      </c>
      <c r="B11" s="47">
        <v>7</v>
      </c>
      <c r="C11" s="245">
        <v>9.6111938210563311E-3</v>
      </c>
      <c r="D11" s="237">
        <v>495536.13146073191</v>
      </c>
      <c r="E11" s="238">
        <v>102142.96668582542</v>
      </c>
      <c r="F11" s="597">
        <v>594373.39187911677</v>
      </c>
      <c r="G11" s="238">
        <v>120239.6</v>
      </c>
      <c r="H11" s="427">
        <v>542010.05000000005</v>
      </c>
      <c r="I11" s="388">
        <f>$C11*Allocations!$B$16</f>
        <v>553100.47436424764</v>
      </c>
      <c r="J11" s="235">
        <f t="shared" si="6"/>
        <v>2407402.6143899215</v>
      </c>
      <c r="K11" s="165">
        <f t="shared" si="7"/>
        <v>601850.65</v>
      </c>
      <c r="L11" s="809">
        <v>-468782.27</v>
      </c>
      <c r="M11" s="425">
        <f t="shared" si="8"/>
        <v>84318.20436424762</v>
      </c>
      <c r="N11" s="237">
        <f t="shared" si="0"/>
        <v>495774.71</v>
      </c>
      <c r="O11" s="238">
        <f t="shared" si="1"/>
        <v>495774.71</v>
      </c>
      <c r="P11" s="317"/>
      <c r="Q11" s="318"/>
      <c r="R11" s="318"/>
      <c r="S11" s="319"/>
      <c r="T11" s="328">
        <f>'Project Final Cost Tracking'!C10</f>
        <v>0</v>
      </c>
      <c r="U11" s="339">
        <f t="shared" si="9"/>
        <v>-411456.5056357524</v>
      </c>
      <c r="V11" s="338">
        <f t="shared" si="2"/>
        <v>-0.6836521745648233</v>
      </c>
      <c r="W11" s="339">
        <f t="shared" si="10"/>
        <v>2077495.6290033618</v>
      </c>
      <c r="X11" s="340">
        <f t="shared" si="3"/>
        <v>0</v>
      </c>
      <c r="Y11" s="237">
        <f t="shared" si="11"/>
        <v>542010.05000000005</v>
      </c>
      <c r="Z11" s="253">
        <f t="shared" si="12"/>
        <v>9.5788863145056715E-3</v>
      </c>
      <c r="AA11" s="238">
        <f t="shared" si="4"/>
        <v>7721.7957308697278</v>
      </c>
      <c r="AB11" s="236">
        <f>ROUND($C11*Allocations!$B$16,2)</f>
        <v>553100.47</v>
      </c>
      <c r="AC11" s="239">
        <f>$C11*Allocations!$B$24</f>
        <v>0</v>
      </c>
      <c r="AD11" s="242">
        <f t="shared" si="5"/>
        <v>-403734.71</v>
      </c>
      <c r="AE11" s="153">
        <f>'Black Hawk'!C9</f>
        <v>495774.71</v>
      </c>
      <c r="AF11" s="141">
        <f>'Black Hawk'!D9</f>
        <v>495774.71</v>
      </c>
      <c r="AG11" s="151"/>
      <c r="AH11" s="146"/>
      <c r="AI11" s="145"/>
      <c r="AJ11" s="146"/>
      <c r="AK11" s="151"/>
      <c r="AL11" s="146"/>
      <c r="AM11" s="145"/>
      <c r="AN11" s="146"/>
      <c r="AO11" s="145"/>
      <c r="AP11" s="146"/>
      <c r="AQ11" s="145"/>
      <c r="AR11" s="146"/>
      <c r="AS11" s="145"/>
      <c r="AT11" s="146"/>
      <c r="AU11" s="145"/>
      <c r="AV11" s="146"/>
      <c r="AW11" s="148"/>
      <c r="AX11" s="141"/>
      <c r="AY11" s="145"/>
      <c r="AZ11" s="146"/>
      <c r="BA11" s="149"/>
      <c r="BB11" s="150"/>
      <c r="BC11" s="179"/>
      <c r="BD11" s="176"/>
    </row>
    <row r="12" spans="1:56" s="30" customFormat="1" ht="12.75">
      <c r="A12" s="97" t="s">
        <v>9</v>
      </c>
      <c r="B12" s="47">
        <v>8</v>
      </c>
      <c r="C12" s="245">
        <v>8.5338569097345579E-3</v>
      </c>
      <c r="D12" s="237">
        <v>605617.11080080306</v>
      </c>
      <c r="E12" s="238">
        <v>124833.53774939464</v>
      </c>
      <c r="F12" s="597">
        <v>556008.6365862689</v>
      </c>
      <c r="G12" s="238">
        <v>112478.55</v>
      </c>
      <c r="H12" s="427">
        <v>500689.89</v>
      </c>
      <c r="I12" s="388">
        <f>$C12*Allocations!$B$16</f>
        <v>491102.39506251365</v>
      </c>
      <c r="J12" s="235">
        <f t="shared" si="6"/>
        <v>2390730.1201989804</v>
      </c>
      <c r="K12" s="165">
        <f t="shared" si="7"/>
        <v>597682.53</v>
      </c>
      <c r="L12" s="809">
        <v>1419214.22</v>
      </c>
      <c r="M12" s="425">
        <f t="shared" si="8"/>
        <v>1910316.6150625136</v>
      </c>
      <c r="N12" s="237">
        <f t="shared" si="0"/>
        <v>586206.17000000004</v>
      </c>
      <c r="O12" s="238">
        <f t="shared" si="1"/>
        <v>586206.17000000004</v>
      </c>
      <c r="P12" s="317"/>
      <c r="Q12" s="318"/>
      <c r="R12" s="318"/>
      <c r="S12" s="319"/>
      <c r="T12" s="328">
        <f>'Project Final Cost Tracking'!C11</f>
        <v>0</v>
      </c>
      <c r="U12" s="339">
        <f t="shared" si="9"/>
        <v>1324110.4450625135</v>
      </c>
      <c r="V12" s="338">
        <f t="shared" si="2"/>
        <v>2.2154076430216447</v>
      </c>
      <c r="W12" s="339">
        <f t="shared" si="10"/>
        <v>3534071.2228438249</v>
      </c>
      <c r="X12" s="340">
        <f t="shared" si="3"/>
        <v>0</v>
      </c>
      <c r="Y12" s="237">
        <f t="shared" si="11"/>
        <v>500689.89</v>
      </c>
      <c r="Z12" s="253">
        <f t="shared" si="12"/>
        <v>8.8486394950284576E-3</v>
      </c>
      <c r="AA12" s="238">
        <f t="shared" si="4"/>
        <v>7133.1242937130646</v>
      </c>
      <c r="AB12" s="236">
        <f>ROUND($C12*Allocations!$B$16,2)</f>
        <v>491102.4</v>
      </c>
      <c r="AC12" s="239">
        <f>$C12*Allocations!$B$24</f>
        <v>0</v>
      </c>
      <c r="AD12" s="242">
        <f t="shared" si="5"/>
        <v>1331243.57</v>
      </c>
      <c r="AE12" s="153">
        <f>Boone!C6</f>
        <v>586206.17000000004</v>
      </c>
      <c r="AF12" s="141">
        <f>Boone!D6</f>
        <v>586206.17000000004</v>
      </c>
      <c r="AG12" s="151"/>
      <c r="AH12" s="146"/>
      <c r="AI12" s="145"/>
      <c r="AJ12" s="146"/>
      <c r="AK12" s="151"/>
      <c r="AL12" s="146"/>
      <c r="AM12" s="145"/>
      <c r="AN12" s="146"/>
      <c r="AO12" s="145"/>
      <c r="AP12" s="146"/>
      <c r="AQ12" s="145"/>
      <c r="AR12" s="146"/>
      <c r="AS12" s="145"/>
      <c r="AT12" s="146"/>
      <c r="AU12" s="145"/>
      <c r="AV12" s="146"/>
      <c r="AW12" s="148"/>
      <c r="AX12" s="141"/>
      <c r="AY12" s="145"/>
      <c r="AZ12" s="146"/>
      <c r="BA12" s="149"/>
      <c r="BB12" s="150"/>
      <c r="BC12" s="179"/>
      <c r="BD12" s="176"/>
    </row>
    <row r="13" spans="1:56" s="30" customFormat="1" ht="12.75">
      <c r="A13" s="97" t="s">
        <v>10</v>
      </c>
      <c r="B13" s="47">
        <v>9</v>
      </c>
      <c r="C13" s="245">
        <v>1.080461530177208E-2</v>
      </c>
      <c r="D13" s="237">
        <v>641182.19831345382</v>
      </c>
      <c r="E13" s="238">
        <v>132164.43315408425</v>
      </c>
      <c r="F13" s="597">
        <v>615501.00002574816</v>
      </c>
      <c r="G13" s="238">
        <v>124513.64</v>
      </c>
      <c r="H13" s="427">
        <v>643523.68999999994</v>
      </c>
      <c r="I13" s="388">
        <f>$C13*Allocations!$B$16</f>
        <v>621778.93402180308</v>
      </c>
      <c r="J13" s="235">
        <f t="shared" si="6"/>
        <v>2778663.8955150894</v>
      </c>
      <c r="K13" s="165">
        <f t="shared" si="7"/>
        <v>694665.97</v>
      </c>
      <c r="L13" s="809">
        <v>116033.9</v>
      </c>
      <c r="M13" s="425">
        <f t="shared" si="8"/>
        <v>737812.83402180311</v>
      </c>
      <c r="N13" s="237">
        <f t="shared" si="0"/>
        <v>0</v>
      </c>
      <c r="O13" s="238">
        <f t="shared" si="1"/>
        <v>0</v>
      </c>
      <c r="P13" s="317"/>
      <c r="Q13" s="318"/>
      <c r="R13" s="318"/>
      <c r="S13" s="319"/>
      <c r="T13" s="328">
        <f>'Project Final Cost Tracking'!C12</f>
        <v>0</v>
      </c>
      <c r="U13" s="339">
        <f t="shared" si="9"/>
        <v>737812.83402180311</v>
      </c>
      <c r="V13" s="338">
        <f t="shared" si="2"/>
        <v>1.0621116707671792</v>
      </c>
      <c r="W13" s="339">
        <f t="shared" si="10"/>
        <v>3535818.0371199166</v>
      </c>
      <c r="X13" s="340">
        <f t="shared" si="3"/>
        <v>0</v>
      </c>
      <c r="Y13" s="237">
        <f t="shared" si="11"/>
        <v>643523.68999999994</v>
      </c>
      <c r="Z13" s="253">
        <f t="shared" si="12"/>
        <v>1.1372926142607851E-2</v>
      </c>
      <c r="AA13" s="238">
        <f t="shared" si="4"/>
        <v>9168.0190840659361</v>
      </c>
      <c r="AB13" s="236">
        <f>ROUND($C13*Allocations!$B$16,2)</f>
        <v>621778.93000000005</v>
      </c>
      <c r="AC13" s="239">
        <f>$C13*Allocations!$B$24</f>
        <v>0</v>
      </c>
      <c r="AD13" s="242">
        <f t="shared" si="5"/>
        <v>746980.85</v>
      </c>
      <c r="AE13" s="153"/>
      <c r="AF13" s="141"/>
      <c r="AG13" s="151"/>
      <c r="AH13" s="146"/>
      <c r="AI13" s="145"/>
      <c r="AJ13" s="146"/>
      <c r="AK13" s="151"/>
      <c r="AL13" s="146"/>
      <c r="AM13" s="145"/>
      <c r="AN13" s="146"/>
      <c r="AO13" s="145"/>
      <c r="AP13" s="146"/>
      <c r="AQ13" s="145"/>
      <c r="AR13" s="146"/>
      <c r="AS13" s="145"/>
      <c r="AT13" s="146"/>
      <c r="AU13" s="145"/>
      <c r="AV13" s="146"/>
      <c r="AW13" s="148"/>
      <c r="AX13" s="141"/>
      <c r="AY13" s="145"/>
      <c r="AZ13" s="146"/>
      <c r="BA13" s="149"/>
      <c r="BB13" s="150"/>
      <c r="BC13" s="179"/>
      <c r="BD13" s="176"/>
    </row>
    <row r="14" spans="1:56" s="30" customFormat="1" ht="12.75">
      <c r="A14" s="98" t="s">
        <v>11</v>
      </c>
      <c r="B14" s="46">
        <v>10</v>
      </c>
      <c r="C14" s="246">
        <v>7.9633274532097103E-3</v>
      </c>
      <c r="D14" s="303">
        <v>514655.55744305119</v>
      </c>
      <c r="E14" s="341">
        <v>106083.98080604179</v>
      </c>
      <c r="F14" s="595">
        <v>495462.25985607883</v>
      </c>
      <c r="G14" s="341">
        <v>100230.24</v>
      </c>
      <c r="H14" s="428">
        <v>482381.38</v>
      </c>
      <c r="I14" s="389">
        <f>$C14*Allocations!$B$16</f>
        <v>458269.83347673685</v>
      </c>
      <c r="J14" s="385">
        <f t="shared" si="6"/>
        <v>2157083.2515819087</v>
      </c>
      <c r="K14" s="168">
        <f t="shared" si="7"/>
        <v>539270.81000000006</v>
      </c>
      <c r="L14" s="810">
        <v>552193.57999999996</v>
      </c>
      <c r="M14" s="426">
        <f t="shared" si="8"/>
        <v>1010463.4134767368</v>
      </c>
      <c r="N14" s="303">
        <f t="shared" si="0"/>
        <v>609788.25</v>
      </c>
      <c r="O14" s="341">
        <f t="shared" si="1"/>
        <v>609788.25</v>
      </c>
      <c r="P14" s="342"/>
      <c r="Q14" s="343"/>
      <c r="R14" s="343"/>
      <c r="S14" s="344"/>
      <c r="T14" s="188">
        <f>'Project Final Cost Tracking'!C13</f>
        <v>0</v>
      </c>
      <c r="U14" s="346">
        <f t="shared" si="9"/>
        <v>400675.16347673675</v>
      </c>
      <c r="V14" s="345">
        <f t="shared" si="2"/>
        <v>0.74299434726818736</v>
      </c>
      <c r="W14" s="346">
        <f t="shared" si="10"/>
        <v>2462889.4141220525</v>
      </c>
      <c r="X14" s="347">
        <f t="shared" si="3"/>
        <v>0</v>
      </c>
      <c r="Y14" s="303">
        <f t="shared" si="11"/>
        <v>482381.38</v>
      </c>
      <c r="Z14" s="348">
        <f t="shared" si="12"/>
        <v>8.5250751333012346E-3</v>
      </c>
      <c r="AA14" s="341">
        <f t="shared" si="4"/>
        <v>6872.290432133218</v>
      </c>
      <c r="AB14" s="231">
        <f>ROUND($C14*Allocations!$B$16,2)</f>
        <v>458269.83</v>
      </c>
      <c r="AC14" s="240">
        <f>$C14*Allocations!$B$24</f>
        <v>0</v>
      </c>
      <c r="AD14" s="244">
        <f t="shared" si="5"/>
        <v>407547.45</v>
      </c>
      <c r="AE14" s="162"/>
      <c r="AF14" s="159"/>
      <c r="AG14" s="174"/>
      <c r="AH14" s="157"/>
      <c r="AI14" s="156">
        <f>Buchanan!C5</f>
        <v>609788.25</v>
      </c>
      <c r="AJ14" s="157">
        <f>Buchanan!D5</f>
        <v>609788.25</v>
      </c>
      <c r="AK14" s="174"/>
      <c r="AL14" s="157"/>
      <c r="AM14" s="156"/>
      <c r="AN14" s="157"/>
      <c r="AO14" s="156"/>
      <c r="AP14" s="157"/>
      <c r="AQ14" s="156"/>
      <c r="AR14" s="157"/>
      <c r="AS14" s="156"/>
      <c r="AT14" s="157"/>
      <c r="AU14" s="156"/>
      <c r="AV14" s="157"/>
      <c r="AW14" s="158"/>
      <c r="AX14" s="159"/>
      <c r="AY14" s="156"/>
      <c r="AZ14" s="157"/>
      <c r="BA14" s="160"/>
      <c r="BB14" s="161"/>
      <c r="BC14" s="180"/>
      <c r="BD14" s="176"/>
    </row>
    <row r="15" spans="1:56" s="193" customFormat="1" ht="12.75">
      <c r="A15" s="191" t="s">
        <v>12</v>
      </c>
      <c r="B15" s="192">
        <v>11</v>
      </c>
      <c r="C15" s="245">
        <v>9.0238954409423908E-3</v>
      </c>
      <c r="D15" s="237">
        <v>493078.1585465243</v>
      </c>
      <c r="E15" s="238">
        <v>101636.31413407205</v>
      </c>
      <c r="F15" s="598">
        <v>481158.59270769783</v>
      </c>
      <c r="G15" s="238">
        <v>97336.65</v>
      </c>
      <c r="H15" s="427">
        <v>493181.92</v>
      </c>
      <c r="I15" s="388">
        <f>$C15*Allocations!$B$16</f>
        <v>519302.90262839088</v>
      </c>
      <c r="J15" s="384">
        <f t="shared" si="6"/>
        <v>2185694.5380166848</v>
      </c>
      <c r="K15" s="165">
        <f t="shared" si="7"/>
        <v>546423.63</v>
      </c>
      <c r="L15" s="809">
        <v>1255251.03</v>
      </c>
      <c r="M15" s="425">
        <f t="shared" si="8"/>
        <v>1774553.9326283908</v>
      </c>
      <c r="N15" s="237">
        <f t="shared" si="0"/>
        <v>0</v>
      </c>
      <c r="O15" s="238">
        <f t="shared" si="1"/>
        <v>0</v>
      </c>
      <c r="P15" s="317"/>
      <c r="Q15" s="318"/>
      <c r="R15" s="318"/>
      <c r="S15" s="319"/>
      <c r="T15" s="328">
        <f>'Project Final Cost Tracking'!C14</f>
        <v>0</v>
      </c>
      <c r="U15" s="339">
        <f t="shared" si="9"/>
        <v>1774553.9326283908</v>
      </c>
      <c r="V15" s="338">
        <f t="shared" si="2"/>
        <v>3.2475790489302061</v>
      </c>
      <c r="W15" s="339">
        <f t="shared" si="10"/>
        <v>4111416.9944561496</v>
      </c>
      <c r="X15" s="340">
        <f t="shared" si="3"/>
        <v>0</v>
      </c>
      <c r="Y15" s="237">
        <f t="shared" si="11"/>
        <v>493181.92</v>
      </c>
      <c r="Z15" s="253">
        <f t="shared" si="12"/>
        <v>8.7159519349311512E-3</v>
      </c>
      <c r="AA15" s="238">
        <f t="shared" si="4"/>
        <v>7026.1613126880857</v>
      </c>
      <c r="AB15" s="237">
        <f>ROUND($C15*Allocations!$B$16,2)</f>
        <v>519302.9</v>
      </c>
      <c r="AC15" s="165">
        <f>$C15*Allocations!$B$24</f>
        <v>0</v>
      </c>
      <c r="AD15" s="243">
        <f t="shared" si="5"/>
        <v>1781580.09</v>
      </c>
      <c r="AE15" s="153"/>
      <c r="AF15" s="141"/>
      <c r="AG15" s="151"/>
      <c r="AH15" s="146"/>
      <c r="AI15" s="145"/>
      <c r="AJ15" s="146"/>
      <c r="AK15" s="151"/>
      <c r="AL15" s="146"/>
      <c r="AM15" s="145"/>
      <c r="AN15" s="146"/>
      <c r="AO15" s="145"/>
      <c r="AP15" s="146"/>
      <c r="AQ15" s="145"/>
      <c r="AR15" s="146"/>
      <c r="AS15" s="145"/>
      <c r="AT15" s="146"/>
      <c r="AU15" s="145"/>
      <c r="AV15" s="146"/>
      <c r="AW15" s="148"/>
      <c r="AX15" s="141"/>
      <c r="AY15" s="145"/>
      <c r="AZ15" s="146"/>
      <c r="BA15" s="149"/>
      <c r="BB15" s="150"/>
      <c r="BC15" s="179"/>
      <c r="BD15" s="176"/>
    </row>
    <row r="16" spans="1:56" s="30" customFormat="1" ht="12.75">
      <c r="A16" s="97" t="s">
        <v>13</v>
      </c>
      <c r="B16" s="47">
        <v>12</v>
      </c>
      <c r="C16" s="245">
        <v>1.5021489007339059E-2</v>
      </c>
      <c r="D16" s="237">
        <v>836123.12981857476</v>
      </c>
      <c r="E16" s="238">
        <v>172346.86145398562</v>
      </c>
      <c r="F16" s="597">
        <v>819357.36094093649</v>
      </c>
      <c r="G16" s="238">
        <v>165753.04999999999</v>
      </c>
      <c r="H16" s="427">
        <v>818559.71</v>
      </c>
      <c r="I16" s="388">
        <f>$C16*Allocations!$B$16</f>
        <v>864449.60431600374</v>
      </c>
      <c r="J16" s="235">
        <f t="shared" si="6"/>
        <v>3676589.7165295007</v>
      </c>
      <c r="K16" s="165">
        <f t="shared" si="7"/>
        <v>919147.43</v>
      </c>
      <c r="L16" s="809">
        <v>2018973.78</v>
      </c>
      <c r="M16" s="425">
        <f t="shared" si="8"/>
        <v>2883423.3843160039</v>
      </c>
      <c r="N16" s="237">
        <f t="shared" si="0"/>
        <v>1190121</v>
      </c>
      <c r="O16" s="238">
        <f t="shared" si="1"/>
        <v>1190121</v>
      </c>
      <c r="P16" s="317"/>
      <c r="Q16" s="318"/>
      <c r="R16" s="318"/>
      <c r="S16" s="319"/>
      <c r="T16" s="328">
        <f>'Project Final Cost Tracking'!C15</f>
        <v>3234.460000000021</v>
      </c>
      <c r="U16" s="339">
        <f t="shared" si="9"/>
        <v>1690067.9243160039</v>
      </c>
      <c r="V16" s="338">
        <f t="shared" si="2"/>
        <v>1.8387343196031172</v>
      </c>
      <c r="W16" s="339">
        <f t="shared" si="10"/>
        <v>5580091.1437380202</v>
      </c>
      <c r="X16" s="340">
        <f t="shared" si="3"/>
        <v>0</v>
      </c>
      <c r="Y16" s="237">
        <f t="shared" si="11"/>
        <v>818559.71</v>
      </c>
      <c r="Z16" s="253">
        <f t="shared" si="12"/>
        <v>1.446631921995677E-2</v>
      </c>
      <c r="AA16" s="238">
        <f t="shared" si="4"/>
        <v>11661.685745753166</v>
      </c>
      <c r="AB16" s="236">
        <f>ROUND($C16*Allocations!$B$16,2)</f>
        <v>864449.6</v>
      </c>
      <c r="AC16" s="239">
        <f>$C16*Allocations!$B$24</f>
        <v>0</v>
      </c>
      <c r="AD16" s="242">
        <f t="shared" si="5"/>
        <v>1701729.61</v>
      </c>
      <c r="AE16" s="153"/>
      <c r="AF16" s="141"/>
      <c r="AG16" s="151"/>
      <c r="AH16" s="146"/>
      <c r="AI16" s="145"/>
      <c r="AJ16" s="146"/>
      <c r="AK16" s="151">
        <f>Butler!C8+Butler!C9+Butler!C10+Butler!C11</f>
        <v>1190121</v>
      </c>
      <c r="AL16" s="146">
        <f>Butler!D8+Butler!D9+Butler!D10+Butler!D11</f>
        <v>1190121</v>
      </c>
      <c r="AM16" s="145"/>
      <c r="AN16" s="146"/>
      <c r="AO16" s="145"/>
      <c r="AP16" s="146"/>
      <c r="AQ16" s="145"/>
      <c r="AR16" s="146"/>
      <c r="AS16" s="145"/>
      <c r="AT16" s="146"/>
      <c r="AU16" s="145"/>
      <c r="AV16" s="146"/>
      <c r="AW16" s="148"/>
      <c r="AX16" s="141"/>
      <c r="AY16" s="145"/>
      <c r="AZ16" s="146"/>
      <c r="BA16" s="149"/>
      <c r="BB16" s="150"/>
      <c r="BC16" s="179"/>
      <c r="BD16" s="176"/>
    </row>
    <row r="17" spans="1:56" s="30" customFormat="1" ht="12.75">
      <c r="A17" s="97" t="s">
        <v>14</v>
      </c>
      <c r="B17" s="47">
        <v>13</v>
      </c>
      <c r="C17" s="245">
        <v>9.9363558612823536E-3</v>
      </c>
      <c r="D17" s="237">
        <v>388620.1357841139</v>
      </c>
      <c r="E17" s="238">
        <v>80104.781594484521</v>
      </c>
      <c r="F17" s="597">
        <v>571121.62795504939</v>
      </c>
      <c r="G17" s="238">
        <v>115535.85</v>
      </c>
      <c r="H17" s="427">
        <v>549909.07999999996</v>
      </c>
      <c r="I17" s="388">
        <f>$C17*Allocations!$B$16</f>
        <v>571812.74695417797</v>
      </c>
      <c r="J17" s="235">
        <f t="shared" si="6"/>
        <v>2277104.2222878258</v>
      </c>
      <c r="K17" s="165">
        <f t="shared" si="7"/>
        <v>569276.06000000006</v>
      </c>
      <c r="L17" s="809">
        <v>690951.57</v>
      </c>
      <c r="M17" s="425">
        <f t="shared" si="8"/>
        <v>1262764.3169541778</v>
      </c>
      <c r="N17" s="237">
        <f t="shared" si="0"/>
        <v>594238.19999999995</v>
      </c>
      <c r="O17" s="238">
        <f t="shared" si="1"/>
        <v>594238.19999999995</v>
      </c>
      <c r="P17" s="317"/>
      <c r="Q17" s="318"/>
      <c r="R17" s="318"/>
      <c r="S17" s="319"/>
      <c r="T17" s="328">
        <f>'Project Final Cost Tracking'!C16</f>
        <v>-48968.139999999898</v>
      </c>
      <c r="U17" s="339">
        <f t="shared" si="9"/>
        <v>717494.25695417775</v>
      </c>
      <c r="V17" s="338">
        <f t="shared" si="2"/>
        <v>1.2603626032582114</v>
      </c>
      <c r="W17" s="339">
        <f t="shared" si="10"/>
        <v>3290651.6182479789</v>
      </c>
      <c r="X17" s="340">
        <f t="shared" si="3"/>
        <v>0</v>
      </c>
      <c r="Y17" s="237">
        <f t="shared" si="11"/>
        <v>549909.07999999996</v>
      </c>
      <c r="Z17" s="253">
        <f t="shared" si="12"/>
        <v>9.7184850366416695E-3</v>
      </c>
      <c r="AA17" s="238">
        <f t="shared" si="4"/>
        <v>7834.3299839375641</v>
      </c>
      <c r="AB17" s="236">
        <f>ROUND($C17*Allocations!$B$16,2)</f>
        <v>571812.75</v>
      </c>
      <c r="AC17" s="239">
        <f>$C17*Allocations!$B$24</f>
        <v>0</v>
      </c>
      <c r="AD17" s="242">
        <f t="shared" si="5"/>
        <v>725328.59</v>
      </c>
      <c r="AE17" s="153"/>
      <c r="AF17" s="141"/>
      <c r="AG17" s="151"/>
      <c r="AH17" s="146"/>
      <c r="AI17" s="145"/>
      <c r="AJ17" s="146"/>
      <c r="AK17" s="151"/>
      <c r="AL17" s="146"/>
      <c r="AM17" s="145">
        <f>Calhoun!C10</f>
        <v>594238.19999999995</v>
      </c>
      <c r="AN17" s="146">
        <f>Calhoun!D10</f>
        <v>594238.19999999995</v>
      </c>
      <c r="AO17" s="145"/>
      <c r="AP17" s="146"/>
      <c r="AQ17" s="145"/>
      <c r="AR17" s="146"/>
      <c r="AS17" s="145"/>
      <c r="AT17" s="146"/>
      <c r="AU17" s="145"/>
      <c r="AV17" s="146"/>
      <c r="AW17" s="148"/>
      <c r="AX17" s="141"/>
      <c r="AY17" s="145"/>
      <c r="AZ17" s="146"/>
      <c r="BA17" s="149"/>
      <c r="BB17" s="150"/>
      <c r="BC17" s="179"/>
      <c r="BD17" s="176"/>
    </row>
    <row r="18" spans="1:56" s="30" customFormat="1" ht="12.75">
      <c r="A18" s="97" t="s">
        <v>15</v>
      </c>
      <c r="B18" s="47">
        <v>14</v>
      </c>
      <c r="C18" s="245">
        <v>4.4944704291669498E-3</v>
      </c>
      <c r="D18" s="237">
        <v>241982.79138557796</v>
      </c>
      <c r="E18" s="238">
        <v>49878.986878676849</v>
      </c>
      <c r="F18" s="597">
        <v>240608.73688574985</v>
      </c>
      <c r="G18" s="238">
        <v>48674.28</v>
      </c>
      <c r="H18" s="427">
        <v>248596.88</v>
      </c>
      <c r="I18" s="388">
        <f>$C18*Allocations!$B$16</f>
        <v>258645.67635106834</v>
      </c>
      <c r="J18" s="235">
        <f t="shared" si="6"/>
        <v>1088387.351501073</v>
      </c>
      <c r="K18" s="165">
        <f t="shared" si="7"/>
        <v>272096.84000000003</v>
      </c>
      <c r="L18" s="809">
        <v>711389.12</v>
      </c>
      <c r="M18" s="425">
        <f t="shared" si="8"/>
        <v>970034.7963510683</v>
      </c>
      <c r="N18" s="237">
        <f t="shared" si="0"/>
        <v>722008.28</v>
      </c>
      <c r="O18" s="238">
        <f t="shared" si="1"/>
        <v>712008.28</v>
      </c>
      <c r="P18" s="317"/>
      <c r="Q18" s="318"/>
      <c r="R18" s="318"/>
      <c r="S18" s="319"/>
      <c r="T18" s="328">
        <f>'Project Final Cost Tracking'!C17</f>
        <v>0</v>
      </c>
      <c r="U18" s="339">
        <f t="shared" si="9"/>
        <v>258026.51635106828</v>
      </c>
      <c r="V18" s="338">
        <f t="shared" si="2"/>
        <v>0.94828927947516128</v>
      </c>
      <c r="W18" s="339">
        <f t="shared" si="10"/>
        <v>1421932.0599308759</v>
      </c>
      <c r="X18" s="340">
        <f t="shared" si="3"/>
        <v>0</v>
      </c>
      <c r="Y18" s="237">
        <f t="shared" si="11"/>
        <v>248596.88</v>
      </c>
      <c r="Z18" s="253">
        <f t="shared" si="12"/>
        <v>4.3934263795677008E-3</v>
      </c>
      <c r="AA18" s="238">
        <f t="shared" si="4"/>
        <v>3541.6581790163004</v>
      </c>
      <c r="AB18" s="236">
        <f>ROUND($C18*Allocations!$B$16,2)</f>
        <v>258645.68</v>
      </c>
      <c r="AC18" s="239">
        <f>$C18*Allocations!$B$24</f>
        <v>0</v>
      </c>
      <c r="AD18" s="242">
        <f t="shared" si="5"/>
        <v>261568.18</v>
      </c>
      <c r="AE18" s="153"/>
      <c r="AF18" s="141"/>
      <c r="AG18" s="151"/>
      <c r="AH18" s="146"/>
      <c r="AI18" s="145"/>
      <c r="AJ18" s="146"/>
      <c r="AK18" s="151"/>
      <c r="AL18" s="146"/>
      <c r="AM18" s="145">
        <f>Carroll!C7+Carroll!C8+Carroll!C9</f>
        <v>722008.28</v>
      </c>
      <c r="AN18" s="146">
        <f>Carroll!D7+Carroll!D8+Carroll!D9</f>
        <v>712008.28</v>
      </c>
      <c r="AO18" s="145"/>
      <c r="AP18" s="146"/>
      <c r="AQ18" s="145"/>
      <c r="AR18" s="146"/>
      <c r="AS18" s="145"/>
      <c r="AT18" s="146"/>
      <c r="AU18" s="145"/>
      <c r="AV18" s="146"/>
      <c r="AW18" s="148"/>
      <c r="AX18" s="141"/>
      <c r="AY18" s="145"/>
      <c r="AZ18" s="146"/>
      <c r="BA18" s="149"/>
      <c r="BB18" s="150"/>
      <c r="BC18" s="179"/>
      <c r="BD18" s="176"/>
    </row>
    <row r="19" spans="1:56" s="30" customFormat="1" ht="12.75">
      <c r="A19" s="98" t="s">
        <v>16</v>
      </c>
      <c r="B19" s="46">
        <v>15</v>
      </c>
      <c r="C19" s="246">
        <v>1.7210151601484498E-2</v>
      </c>
      <c r="D19" s="303">
        <v>1093392.9621616802</v>
      </c>
      <c r="E19" s="341">
        <v>225376.90759174561</v>
      </c>
      <c r="F19" s="595">
        <v>1083942.0967563614</v>
      </c>
      <c r="G19" s="341">
        <v>219277.59</v>
      </c>
      <c r="H19" s="428">
        <v>1077480.25</v>
      </c>
      <c r="I19" s="389">
        <f>$C19*Allocations!$B$16</f>
        <v>990401.73280112876</v>
      </c>
      <c r="J19" s="385">
        <f t="shared" si="6"/>
        <v>4689871.5393109163</v>
      </c>
      <c r="K19" s="168">
        <f t="shared" si="7"/>
        <v>1172467.8799999999</v>
      </c>
      <c r="L19" s="810">
        <v>841604</v>
      </c>
      <c r="M19" s="426">
        <f t="shared" si="8"/>
        <v>1832005.7328011286</v>
      </c>
      <c r="N19" s="303">
        <f>AE19+AG19+AI19+AK19+AM19+AO19+AQ19+AS19+AU19+AW19+AY19+BA19+BC19</f>
        <v>1902182.35</v>
      </c>
      <c r="O19" s="341">
        <f>AF19+AH19+AJ19+AL19+AN19+AP19+AR19+AT19+AV19+AX19+AZ19+BB19+BC19</f>
        <v>1902182.35</v>
      </c>
      <c r="P19" s="342"/>
      <c r="Q19" s="343"/>
      <c r="R19" s="343"/>
      <c r="S19" s="344"/>
      <c r="T19" s="188">
        <f>'Project Final Cost Tracking'!C18</f>
        <v>0</v>
      </c>
      <c r="U19" s="346">
        <f t="shared" si="9"/>
        <v>-70176.617198871449</v>
      </c>
      <c r="V19" s="345">
        <f t="shared" si="2"/>
        <v>-5.9853765204102183E-2</v>
      </c>
      <c r="W19" s="346">
        <f t="shared" si="10"/>
        <v>4386631.1804062082</v>
      </c>
      <c r="X19" s="347">
        <f t="shared" si="3"/>
        <v>0</v>
      </c>
      <c r="Y19" s="303">
        <f t="shared" si="11"/>
        <v>1077480.25</v>
      </c>
      <c r="Z19" s="348">
        <f t="shared" si="12"/>
        <v>1.9042194551328242E-2</v>
      </c>
      <c r="AA19" s="341">
        <f t="shared" si="4"/>
        <v>15350.420890805337</v>
      </c>
      <c r="AB19" s="231">
        <f>ROUND($C19*Allocations!$B$16,2)</f>
        <v>990401.73</v>
      </c>
      <c r="AC19" s="240">
        <f>$C19*Allocations!$B$24</f>
        <v>0</v>
      </c>
      <c r="AD19" s="244">
        <f t="shared" si="5"/>
        <v>-54826.2</v>
      </c>
      <c r="AE19" s="162"/>
      <c r="AF19" s="159"/>
      <c r="AG19" s="174"/>
      <c r="AH19" s="157"/>
      <c r="AI19" s="156">
        <f>Cass!C13+Cass!C14</f>
        <v>1065076.25</v>
      </c>
      <c r="AJ19" s="157">
        <f>Cass!D13+Cass!D14</f>
        <v>1065076.25</v>
      </c>
      <c r="AK19" s="174"/>
      <c r="AL19" s="157"/>
      <c r="AM19" s="156"/>
      <c r="AN19" s="157"/>
      <c r="AO19" s="156"/>
      <c r="AP19" s="157"/>
      <c r="AQ19" s="156"/>
      <c r="AR19" s="157"/>
      <c r="AS19" s="156">
        <f>Cass!C15</f>
        <v>837106.1</v>
      </c>
      <c r="AT19" s="157">
        <f>Cass!D15</f>
        <v>837106.1</v>
      </c>
      <c r="AU19" s="156"/>
      <c r="AV19" s="157"/>
      <c r="AW19" s="156"/>
      <c r="AX19" s="157"/>
      <c r="AY19" s="156"/>
      <c r="AZ19" s="157"/>
      <c r="BA19" s="160"/>
      <c r="BB19" s="161"/>
      <c r="BC19" s="180"/>
      <c r="BD19" s="176"/>
    </row>
    <row r="20" spans="1:56" s="30" customFormat="1" ht="12.75">
      <c r="A20" s="97" t="s">
        <v>17</v>
      </c>
      <c r="B20" s="47">
        <v>16</v>
      </c>
      <c r="C20" s="245">
        <v>2.0235209850897315E-2</v>
      </c>
      <c r="D20" s="237">
        <v>1122082.1036730569</v>
      </c>
      <c r="E20" s="238">
        <v>231290.49055693389</v>
      </c>
      <c r="F20" s="597">
        <v>1091800.2409413976</v>
      </c>
      <c r="G20" s="238">
        <v>220867.27</v>
      </c>
      <c r="H20" s="427">
        <v>1225393.17</v>
      </c>
      <c r="I20" s="388">
        <f>$C20*Allocations!$B$16</f>
        <v>1164486.3661860186</v>
      </c>
      <c r="J20" s="235">
        <f t="shared" si="6"/>
        <v>5055919.641357407</v>
      </c>
      <c r="K20" s="165">
        <f t="shared" si="7"/>
        <v>1263979.9099999999</v>
      </c>
      <c r="L20" s="809">
        <v>1286053.7</v>
      </c>
      <c r="M20" s="425">
        <f t="shared" si="8"/>
        <v>2450540.0661860183</v>
      </c>
      <c r="N20" s="237">
        <f t="shared" si="0"/>
        <v>677380.07</v>
      </c>
      <c r="O20" s="238">
        <f t="shared" si="1"/>
        <v>677380.07</v>
      </c>
      <c r="P20" s="317"/>
      <c r="Q20" s="318"/>
      <c r="R20" s="318"/>
      <c r="S20" s="319"/>
      <c r="T20" s="328">
        <f>'Project Final Cost Tracking'!C19</f>
        <v>0</v>
      </c>
      <c r="U20" s="339">
        <f t="shared" si="9"/>
        <v>1773159.9961860185</v>
      </c>
      <c r="V20" s="338">
        <f t="shared" si="2"/>
        <v>1.4028387493801373</v>
      </c>
      <c r="W20" s="339">
        <f t="shared" si="10"/>
        <v>7013348.6440231018</v>
      </c>
      <c r="X20" s="340">
        <f t="shared" si="3"/>
        <v>0</v>
      </c>
      <c r="Y20" s="237">
        <f t="shared" si="11"/>
        <v>1225393.17</v>
      </c>
      <c r="Z20" s="253">
        <f t="shared" si="12"/>
        <v>2.1656243949723292E-2</v>
      </c>
      <c r="AA20" s="238">
        <f t="shared" si="4"/>
        <v>17457.675828599342</v>
      </c>
      <c r="AB20" s="236">
        <f>ROUND($C20*Allocations!$B$16,2)</f>
        <v>1164486.3700000001</v>
      </c>
      <c r="AC20" s="239">
        <f>$C20*Allocations!$B$24</f>
        <v>0</v>
      </c>
      <c r="AD20" s="242">
        <f t="shared" si="5"/>
        <v>1790617.68</v>
      </c>
      <c r="AE20" s="153"/>
      <c r="AF20" s="141"/>
      <c r="AG20" s="151"/>
      <c r="AH20" s="146"/>
      <c r="AI20" s="145">
        <f>Cedar!C10</f>
        <v>677380.07</v>
      </c>
      <c r="AJ20" s="146">
        <f>Cedar!D10</f>
        <v>677380.07</v>
      </c>
      <c r="AK20" s="151"/>
      <c r="AL20" s="146"/>
      <c r="AM20" s="145"/>
      <c r="AN20" s="146"/>
      <c r="AO20" s="145"/>
      <c r="AP20" s="146"/>
      <c r="AQ20" s="145"/>
      <c r="AR20" s="146"/>
      <c r="AS20" s="145"/>
      <c r="AT20" s="146"/>
      <c r="AU20" s="145"/>
      <c r="AV20" s="146"/>
      <c r="AW20" s="148"/>
      <c r="AX20" s="141"/>
      <c r="AY20" s="145"/>
      <c r="AZ20" s="146"/>
      <c r="BA20" s="149"/>
      <c r="BB20" s="150"/>
      <c r="BC20" s="179"/>
      <c r="BD20" s="176"/>
    </row>
    <row r="21" spans="1:56" s="30" customFormat="1" ht="12.75">
      <c r="A21" s="97" t="s">
        <v>18</v>
      </c>
      <c r="B21" s="47">
        <v>17</v>
      </c>
      <c r="C21" s="245">
        <v>4.240795790130196E-3</v>
      </c>
      <c r="D21" s="237">
        <v>297505.27275366831</v>
      </c>
      <c r="E21" s="238">
        <v>61323.623514914994</v>
      </c>
      <c r="F21" s="597">
        <v>277728.87752350344</v>
      </c>
      <c r="G21" s="238">
        <v>56183.55</v>
      </c>
      <c r="H21" s="427">
        <v>251329.83</v>
      </c>
      <c r="I21" s="388">
        <f>$C21*Allocations!$B$16</f>
        <v>244047.32719718694</v>
      </c>
      <c r="J21" s="235">
        <f t="shared" si="6"/>
        <v>1188118.4809892736</v>
      </c>
      <c r="K21" s="165">
        <f t="shared" si="7"/>
        <v>297029.62</v>
      </c>
      <c r="L21" s="809">
        <v>714428.55</v>
      </c>
      <c r="M21" s="425">
        <f t="shared" si="8"/>
        <v>958475.87719718693</v>
      </c>
      <c r="N21" s="237">
        <f t="shared" si="0"/>
        <v>0</v>
      </c>
      <c r="O21" s="238">
        <f t="shared" si="1"/>
        <v>0</v>
      </c>
      <c r="P21" s="317"/>
      <c r="Q21" s="318"/>
      <c r="R21" s="318"/>
      <c r="S21" s="319"/>
      <c r="T21" s="328">
        <f>'Project Final Cost Tracking'!C20</f>
        <v>0</v>
      </c>
      <c r="U21" s="339">
        <f t="shared" si="9"/>
        <v>958475.87719718693</v>
      </c>
      <c r="V21" s="338">
        <f t="shared" si="2"/>
        <v>3.2268696879361287</v>
      </c>
      <c r="W21" s="339">
        <f t="shared" si="10"/>
        <v>2056688.8495845282</v>
      </c>
      <c r="X21" s="340">
        <f t="shared" si="3"/>
        <v>0</v>
      </c>
      <c r="Y21" s="237">
        <f t="shared" si="11"/>
        <v>251329.83</v>
      </c>
      <c r="Z21" s="253">
        <f t="shared" si="12"/>
        <v>4.4417255160011087E-3</v>
      </c>
      <c r="AA21" s="238">
        <f t="shared" si="4"/>
        <v>3580.5934010526453</v>
      </c>
      <c r="AB21" s="236">
        <f>ROUND($C21*Allocations!$B$16,2)</f>
        <v>244047.33</v>
      </c>
      <c r="AC21" s="239">
        <f>$C21*Allocations!$B$24</f>
        <v>0</v>
      </c>
      <c r="AD21" s="242">
        <f t="shared" si="5"/>
        <v>962056.47</v>
      </c>
      <c r="AE21" s="153"/>
      <c r="AF21" s="141"/>
      <c r="AG21" s="151"/>
      <c r="AH21" s="146"/>
      <c r="AI21" s="163"/>
      <c r="AJ21" s="150"/>
      <c r="AK21" s="151"/>
      <c r="AL21" s="146"/>
      <c r="AM21" s="145"/>
      <c r="AN21" s="146"/>
      <c r="AO21" s="145"/>
      <c r="AP21" s="146"/>
      <c r="AQ21" s="145"/>
      <c r="AR21" s="146"/>
      <c r="AS21" s="145"/>
      <c r="AT21" s="146"/>
      <c r="AU21" s="145"/>
      <c r="AV21" s="146"/>
      <c r="AW21" s="148"/>
      <c r="AX21" s="141"/>
      <c r="AY21" s="145"/>
      <c r="AZ21" s="146"/>
      <c r="BA21" s="149"/>
      <c r="BB21" s="150"/>
      <c r="BC21" s="179"/>
      <c r="BD21" s="176"/>
    </row>
    <row r="22" spans="1:56" s="30" customFormat="1" ht="12.75">
      <c r="A22" s="97" t="s">
        <v>19</v>
      </c>
      <c r="B22" s="47">
        <v>18</v>
      </c>
      <c r="C22" s="245">
        <v>6.5912574600003517E-3</v>
      </c>
      <c r="D22" s="237">
        <v>505974.05810454302</v>
      </c>
      <c r="E22" s="238">
        <v>104294.49656580629</v>
      </c>
      <c r="F22" s="597">
        <v>631962.72609770345</v>
      </c>
      <c r="G22" s="238">
        <v>127843.79</v>
      </c>
      <c r="H22" s="427">
        <v>640833.61</v>
      </c>
      <c r="I22" s="388">
        <f>$C22*Allocations!$B$16</f>
        <v>379310.59300835151</v>
      </c>
      <c r="J22" s="235">
        <f t="shared" si="6"/>
        <v>2390219.2737764041</v>
      </c>
      <c r="K22" s="165">
        <f t="shared" si="7"/>
        <v>597554.81999999995</v>
      </c>
      <c r="L22" s="809">
        <v>1090452.2</v>
      </c>
      <c r="M22" s="425">
        <f t="shared" si="8"/>
        <v>1469762.7930083515</v>
      </c>
      <c r="N22" s="237">
        <f t="shared" si="0"/>
        <v>1491087.15</v>
      </c>
      <c r="O22" s="238">
        <f t="shared" si="1"/>
        <v>1491087.15</v>
      </c>
      <c r="P22" s="317"/>
      <c r="Q22" s="318"/>
      <c r="R22" s="318"/>
      <c r="S22" s="319"/>
      <c r="T22" s="328">
        <f>'Project Final Cost Tracking'!C21</f>
        <v>0</v>
      </c>
      <c r="U22" s="339">
        <f t="shared" si="9"/>
        <v>-21324.356991648441</v>
      </c>
      <c r="V22" s="338">
        <f t="shared" si="2"/>
        <v>-3.5686026248852691E-2</v>
      </c>
      <c r="W22" s="339">
        <f t="shared" si="10"/>
        <v>1685573.3115459334</v>
      </c>
      <c r="X22" s="340">
        <f t="shared" si="3"/>
        <v>0</v>
      </c>
      <c r="Y22" s="237">
        <f t="shared" si="11"/>
        <v>640833.61</v>
      </c>
      <c r="Z22" s="253">
        <f t="shared" si="12"/>
        <v>1.1325384643152398E-2</v>
      </c>
      <c r="AA22" s="238">
        <f t="shared" si="4"/>
        <v>9129.6946134040045</v>
      </c>
      <c r="AB22" s="236">
        <f>ROUND($C22*Allocations!$B$16,2)</f>
        <v>379310.59</v>
      </c>
      <c r="AC22" s="239">
        <f>$C22*Allocations!$B$24</f>
        <v>0</v>
      </c>
      <c r="AD22" s="242">
        <f t="shared" si="5"/>
        <v>-12194.67</v>
      </c>
      <c r="AE22" s="153"/>
      <c r="AF22" s="141"/>
      <c r="AG22" s="151"/>
      <c r="AH22" s="146"/>
      <c r="AI22" s="145"/>
      <c r="AJ22" s="146"/>
      <c r="AK22" s="153">
        <f>Cherokee!C7</f>
        <v>1491087.15</v>
      </c>
      <c r="AL22" s="141">
        <f>Cherokee!D7</f>
        <v>1491087.15</v>
      </c>
      <c r="AM22" s="145"/>
      <c r="AN22" s="146"/>
      <c r="AO22" s="145"/>
      <c r="AP22" s="146"/>
      <c r="AQ22" s="145"/>
      <c r="AR22" s="146"/>
      <c r="AS22" s="145"/>
      <c r="AT22" s="146"/>
      <c r="AU22" s="145"/>
      <c r="AV22" s="146"/>
      <c r="AW22" s="148"/>
      <c r="AX22" s="141"/>
      <c r="AY22" s="145"/>
      <c r="AZ22" s="146"/>
      <c r="BA22" s="149"/>
      <c r="BB22" s="150"/>
      <c r="BC22" s="179"/>
      <c r="BD22" s="176"/>
    </row>
    <row r="23" spans="1:56" s="30" customFormat="1" ht="12.75">
      <c r="A23" s="97" t="s">
        <v>20</v>
      </c>
      <c r="B23" s="47">
        <v>19</v>
      </c>
      <c r="C23" s="245">
        <v>1.7742142328782639E-2</v>
      </c>
      <c r="D23" s="237">
        <v>907894.31043739768</v>
      </c>
      <c r="E23" s="238">
        <v>187140.78029364892</v>
      </c>
      <c r="F23" s="597">
        <v>1105435.4006953507</v>
      </c>
      <c r="G23" s="238">
        <v>223625.61</v>
      </c>
      <c r="H23" s="427">
        <v>1063078.8799999999</v>
      </c>
      <c r="I23" s="388">
        <f>$C23*Allocations!$B$16</f>
        <v>1021016.4856720311</v>
      </c>
      <c r="J23" s="235">
        <f t="shared" si="6"/>
        <v>4508191.4670984279</v>
      </c>
      <c r="K23" s="165">
        <f t="shared" si="7"/>
        <v>1127047.8700000001</v>
      </c>
      <c r="L23" s="809">
        <v>115012.77</v>
      </c>
      <c r="M23" s="425">
        <f t="shared" si="8"/>
        <v>1136029.2556720311</v>
      </c>
      <c r="N23" s="237">
        <f t="shared" si="0"/>
        <v>2062252.33</v>
      </c>
      <c r="O23" s="238">
        <f t="shared" si="1"/>
        <v>2062252.33</v>
      </c>
      <c r="P23" s="317"/>
      <c r="Q23" s="318"/>
      <c r="R23" s="318"/>
      <c r="S23" s="319"/>
      <c r="T23" s="328">
        <f>'Project Final Cost Tracking'!C22</f>
        <v>-34527.54999999993</v>
      </c>
      <c r="U23" s="339">
        <f t="shared" si="9"/>
        <v>-891695.52432796906</v>
      </c>
      <c r="V23" s="338">
        <f t="shared" si="2"/>
        <v>-0.7911780396053355</v>
      </c>
      <c r="W23" s="339">
        <f t="shared" si="10"/>
        <v>3702878.6611961704</v>
      </c>
      <c r="X23" s="340">
        <f t="shared" si="3"/>
        <v>0</v>
      </c>
      <c r="Y23" s="237">
        <f t="shared" si="11"/>
        <v>1063078.8799999999</v>
      </c>
      <c r="Z23" s="253">
        <f t="shared" si="12"/>
        <v>1.8787680661773734E-2</v>
      </c>
      <c r="AA23" s="238">
        <f t="shared" si="4"/>
        <v>15145.250456447753</v>
      </c>
      <c r="AB23" s="236">
        <f>ROUND($C23*Allocations!$B$16,2)</f>
        <v>1021016.49</v>
      </c>
      <c r="AC23" s="239">
        <f>$C23*Allocations!$B$24</f>
        <v>0</v>
      </c>
      <c r="AD23" s="242">
        <f t="shared" si="5"/>
        <v>-876550.27</v>
      </c>
      <c r="AE23" s="153"/>
      <c r="AF23" s="141"/>
      <c r="AG23" s="151"/>
      <c r="AH23" s="146"/>
      <c r="AI23" s="164">
        <f>Chickasaw!C13</f>
        <v>462557.64</v>
      </c>
      <c r="AJ23" s="165">
        <f>Chickasaw!D13</f>
        <v>462557.64</v>
      </c>
      <c r="AK23" s="151">
        <f>Chickasaw!C14</f>
        <v>1599694.69</v>
      </c>
      <c r="AL23" s="146">
        <f>Chickasaw!D14</f>
        <v>1599694.69</v>
      </c>
      <c r="AM23" s="145"/>
      <c r="AN23" s="146"/>
      <c r="AO23" s="145"/>
      <c r="AP23" s="146"/>
      <c r="AQ23" s="145"/>
      <c r="AR23" s="146"/>
      <c r="AS23" s="145"/>
      <c r="AT23" s="146"/>
      <c r="AU23" s="145"/>
      <c r="AV23" s="146"/>
      <c r="AW23" s="148"/>
      <c r="AX23" s="141"/>
      <c r="AY23" s="145"/>
      <c r="AZ23" s="146"/>
      <c r="BA23" s="149"/>
      <c r="BB23" s="150"/>
      <c r="BC23" s="179"/>
      <c r="BD23" s="177"/>
    </row>
    <row r="24" spans="1:56" s="30" customFormat="1" ht="12.75">
      <c r="A24" s="98" t="s">
        <v>21</v>
      </c>
      <c r="B24" s="46">
        <v>20</v>
      </c>
      <c r="C24" s="246">
        <v>5.9307542084513802E-3</v>
      </c>
      <c r="D24" s="303">
        <v>359830.82811762934</v>
      </c>
      <c r="E24" s="341">
        <v>74170.551763014126</v>
      </c>
      <c r="F24" s="595">
        <v>320213.83594471309</v>
      </c>
      <c r="G24" s="341">
        <v>64778.11</v>
      </c>
      <c r="H24" s="428">
        <v>332281.53999999998</v>
      </c>
      <c r="I24" s="389">
        <f>$C24*Allocations!$B$16</f>
        <v>341300.26166423626</v>
      </c>
      <c r="J24" s="385">
        <f t="shared" si="6"/>
        <v>1492575.1274895926</v>
      </c>
      <c r="K24" s="168">
        <f t="shared" si="7"/>
        <v>373143.78</v>
      </c>
      <c r="L24" s="810">
        <v>-714602.64</v>
      </c>
      <c r="M24" s="426">
        <f t="shared" si="8"/>
        <v>-373302.37833576376</v>
      </c>
      <c r="N24" s="303">
        <f t="shared" si="0"/>
        <v>634293.1</v>
      </c>
      <c r="O24" s="341">
        <f t="shared" si="1"/>
        <v>634293.1</v>
      </c>
      <c r="P24" s="342"/>
      <c r="Q24" s="343"/>
      <c r="R24" s="343"/>
      <c r="S24" s="344"/>
      <c r="T24" s="188">
        <f>'Project Final Cost Tracking'!C23</f>
        <v>0</v>
      </c>
      <c r="U24" s="346">
        <f t="shared" si="9"/>
        <v>-1007595.4783357638</v>
      </c>
      <c r="V24" s="345">
        <f t="shared" si="2"/>
        <v>-2.700287482577798</v>
      </c>
      <c r="W24" s="346">
        <f t="shared" si="10"/>
        <v>528255.69915329944</v>
      </c>
      <c r="X24" s="347">
        <f t="shared" si="3"/>
        <v>0</v>
      </c>
      <c r="Y24" s="303">
        <f t="shared" si="11"/>
        <v>332281.53999999998</v>
      </c>
      <c r="Z24" s="348">
        <f t="shared" si="12"/>
        <v>5.872376528938658E-3</v>
      </c>
      <c r="AA24" s="341">
        <f t="shared" si="4"/>
        <v>4733.8793386189391</v>
      </c>
      <c r="AB24" s="231">
        <f>ROUND($C24*Allocations!$B$16,2)</f>
        <v>341300.26</v>
      </c>
      <c r="AC24" s="240">
        <f>$C24*Allocations!$B$24</f>
        <v>0</v>
      </c>
      <c r="AD24" s="244">
        <f t="shared" si="5"/>
        <v>-1002861.6</v>
      </c>
      <c r="AE24" s="162"/>
      <c r="AF24" s="159"/>
      <c r="AG24" s="174"/>
      <c r="AH24" s="157"/>
      <c r="AI24" s="156"/>
      <c r="AJ24" s="157"/>
      <c r="AK24" s="174"/>
      <c r="AL24" s="157"/>
      <c r="AM24" s="156"/>
      <c r="AN24" s="157"/>
      <c r="AO24" s="156"/>
      <c r="AP24" s="157"/>
      <c r="AQ24" s="156"/>
      <c r="AR24" s="157"/>
      <c r="AS24" s="156"/>
      <c r="AT24" s="157"/>
      <c r="AU24" s="156"/>
      <c r="AV24" s="157"/>
      <c r="AW24" s="158"/>
      <c r="AX24" s="159"/>
      <c r="AY24" s="156">
        <f>Clarke!C12</f>
        <v>634293.1</v>
      </c>
      <c r="AZ24" s="157">
        <f>Clarke!D12</f>
        <v>634293.1</v>
      </c>
      <c r="BA24" s="160"/>
      <c r="BB24" s="161"/>
      <c r="BC24" s="180"/>
      <c r="BD24" s="176"/>
    </row>
    <row r="25" spans="1:56" s="30" customFormat="1" ht="12.75">
      <c r="A25" s="97" t="s">
        <v>22</v>
      </c>
      <c r="B25" s="47">
        <v>21</v>
      </c>
      <c r="C25" s="245">
        <v>8.7796193159841596E-3</v>
      </c>
      <c r="D25" s="237">
        <v>492063.58162225125</v>
      </c>
      <c r="E25" s="238">
        <v>101427.18327479294</v>
      </c>
      <c r="F25" s="597">
        <v>539937.90327052074</v>
      </c>
      <c r="G25" s="238">
        <v>109227.5</v>
      </c>
      <c r="H25" s="427">
        <v>499473.76</v>
      </c>
      <c r="I25" s="388">
        <f>$C25*Allocations!$B$16</f>
        <v>505245.41475479724</v>
      </c>
      <c r="J25" s="235">
        <f t="shared" si="6"/>
        <v>2247375.3429223625</v>
      </c>
      <c r="K25" s="165">
        <f t="shared" si="7"/>
        <v>561843.84</v>
      </c>
      <c r="L25" s="809">
        <v>1486571</v>
      </c>
      <c r="M25" s="425">
        <f t="shared" si="8"/>
        <v>1991816.4147547972</v>
      </c>
      <c r="N25" s="237">
        <f t="shared" si="0"/>
        <v>0</v>
      </c>
      <c r="O25" s="238">
        <f t="shared" si="1"/>
        <v>0</v>
      </c>
      <c r="P25" s="317"/>
      <c r="Q25" s="318"/>
      <c r="R25" s="318"/>
      <c r="S25" s="319"/>
      <c r="T25" s="328">
        <f>'Project Final Cost Tracking'!C24</f>
        <v>0</v>
      </c>
      <c r="U25" s="339">
        <f t="shared" si="9"/>
        <v>1991816.4147547972</v>
      </c>
      <c r="V25" s="338">
        <f t="shared" si="2"/>
        <v>3.5451423917983997</v>
      </c>
      <c r="W25" s="339">
        <f t="shared" si="10"/>
        <v>4265420.7811513841</v>
      </c>
      <c r="X25" s="340">
        <f t="shared" si="3"/>
        <v>0</v>
      </c>
      <c r="Y25" s="237">
        <f t="shared" si="11"/>
        <v>499473.76</v>
      </c>
      <c r="Z25" s="253">
        <f t="shared" si="12"/>
        <v>8.8271469581028793E-3</v>
      </c>
      <c r="AA25" s="238">
        <f t="shared" si="4"/>
        <v>7115.7985864827606</v>
      </c>
      <c r="AB25" s="236">
        <f>ROUND($C25*Allocations!$B$16,2)</f>
        <v>505245.41</v>
      </c>
      <c r="AC25" s="239">
        <f>$C25*Allocations!$B$24</f>
        <v>0</v>
      </c>
      <c r="AD25" s="242">
        <f t="shared" si="5"/>
        <v>1998932.21</v>
      </c>
      <c r="AE25" s="153"/>
      <c r="AF25" s="141"/>
      <c r="AG25" s="151"/>
      <c r="AH25" s="146"/>
      <c r="AI25" s="145"/>
      <c r="AJ25" s="146"/>
      <c r="AK25" s="151"/>
      <c r="AL25" s="146"/>
      <c r="AM25" s="145"/>
      <c r="AN25" s="146"/>
      <c r="AO25" s="145"/>
      <c r="AP25" s="146"/>
      <c r="AQ25" s="145"/>
      <c r="AR25" s="146"/>
      <c r="AS25" s="145"/>
      <c r="AT25" s="146"/>
      <c r="AU25" s="145"/>
      <c r="AV25" s="146"/>
      <c r="AW25" s="148"/>
      <c r="AX25" s="141"/>
      <c r="AY25" s="145"/>
      <c r="AZ25" s="146"/>
      <c r="BA25" s="149"/>
      <c r="BB25" s="150"/>
      <c r="BC25" s="179"/>
      <c r="BD25" s="176"/>
    </row>
    <row r="26" spans="1:56" s="30" customFormat="1" ht="12.75">
      <c r="A26" s="97" t="s">
        <v>23</v>
      </c>
      <c r="B26" s="47">
        <v>22</v>
      </c>
      <c r="C26" s="245">
        <v>5.4626865764536769E-3</v>
      </c>
      <c r="D26" s="237">
        <v>386644.05411654216</v>
      </c>
      <c r="E26" s="238">
        <v>79697.459441518062</v>
      </c>
      <c r="F26" s="597">
        <v>345031.4415975986</v>
      </c>
      <c r="G26" s="238">
        <v>69798.62</v>
      </c>
      <c r="H26" s="427">
        <v>316907.18</v>
      </c>
      <c r="I26" s="388">
        <f>$C26*Allocations!$B$16</f>
        <v>314364.12510175182</v>
      </c>
      <c r="J26" s="235">
        <f t="shared" si="6"/>
        <v>1512442.8802574107</v>
      </c>
      <c r="K26" s="165">
        <f t="shared" si="7"/>
        <v>378110.71999999997</v>
      </c>
      <c r="L26" s="809">
        <v>947621.34</v>
      </c>
      <c r="M26" s="425">
        <f t="shared" si="8"/>
        <v>1261985.4651017517</v>
      </c>
      <c r="N26" s="237">
        <f t="shared" si="0"/>
        <v>342999.76</v>
      </c>
      <c r="O26" s="238">
        <f t="shared" si="1"/>
        <v>342999.76</v>
      </c>
      <c r="P26" s="317"/>
      <c r="Q26" s="318"/>
      <c r="R26" s="318"/>
      <c r="S26" s="319"/>
      <c r="T26" s="328">
        <f>'Project Final Cost Tracking'!C25</f>
        <v>0</v>
      </c>
      <c r="U26" s="339">
        <f t="shared" si="9"/>
        <v>918985.70510175172</v>
      </c>
      <c r="V26" s="338">
        <f t="shared" si="2"/>
        <v>2.4304672057479668</v>
      </c>
      <c r="W26" s="339">
        <f t="shared" si="10"/>
        <v>2333624.2680596346</v>
      </c>
      <c r="X26" s="340">
        <f t="shared" si="3"/>
        <v>0</v>
      </c>
      <c r="Y26" s="237">
        <f t="shared" si="11"/>
        <v>316907.18</v>
      </c>
      <c r="Z26" s="253">
        <f t="shared" si="12"/>
        <v>5.6006670899747795E-3</v>
      </c>
      <c r="AA26" s="238">
        <f t="shared" si="4"/>
        <v>4514.8471132702498</v>
      </c>
      <c r="AB26" s="236">
        <f>ROUND($C26*Allocations!$B$16,2)</f>
        <v>314364.13</v>
      </c>
      <c r="AC26" s="239">
        <f>$C26*Allocations!$B$24</f>
        <v>0</v>
      </c>
      <c r="AD26" s="242">
        <f t="shared" si="5"/>
        <v>923500.56</v>
      </c>
      <c r="AE26" s="153"/>
      <c r="AF26" s="141"/>
      <c r="AG26" s="151"/>
      <c r="AH26" s="146"/>
      <c r="AI26" s="145">
        <f>Clayton!C9</f>
        <v>342999.76</v>
      </c>
      <c r="AJ26" s="146">
        <f>Clayton!D9</f>
        <v>342999.76</v>
      </c>
      <c r="AK26" s="151"/>
      <c r="AL26" s="146"/>
      <c r="AM26" s="145"/>
      <c r="AN26" s="146"/>
      <c r="AO26" s="145"/>
      <c r="AP26" s="146"/>
      <c r="AQ26" s="145"/>
      <c r="AR26" s="146"/>
      <c r="AS26" s="145"/>
      <c r="AT26" s="146"/>
      <c r="AU26" s="145"/>
      <c r="AV26" s="146"/>
      <c r="AW26" s="148"/>
      <c r="AX26" s="141"/>
      <c r="AY26" s="145"/>
      <c r="AZ26" s="146"/>
      <c r="BA26" s="149"/>
      <c r="BB26" s="150"/>
      <c r="BC26" s="179"/>
      <c r="BD26" s="176"/>
    </row>
    <row r="27" spans="1:56" s="30" customFormat="1" ht="12.75">
      <c r="A27" s="97" t="s">
        <v>24</v>
      </c>
      <c r="B27" s="47">
        <v>23</v>
      </c>
      <c r="C27" s="245">
        <v>6.8431218901063096E-3</v>
      </c>
      <c r="D27" s="237">
        <v>402457.98911805521</v>
      </c>
      <c r="E27" s="238">
        <v>82957.125353809592</v>
      </c>
      <c r="F27" s="597">
        <v>389713.11084326735</v>
      </c>
      <c r="G27" s="238">
        <v>78837.56</v>
      </c>
      <c r="H27" s="427">
        <v>395625.1</v>
      </c>
      <c r="I27" s="388">
        <f>$C27*Allocations!$B$16</f>
        <v>393804.76910767145</v>
      </c>
      <c r="J27" s="235">
        <f t="shared" si="6"/>
        <v>1743395.6544228038</v>
      </c>
      <c r="K27" s="165">
        <f t="shared" si="7"/>
        <v>435848.91</v>
      </c>
      <c r="L27" s="809">
        <v>533936.25</v>
      </c>
      <c r="M27" s="425">
        <f t="shared" si="8"/>
        <v>927741.01910767145</v>
      </c>
      <c r="N27" s="237">
        <f t="shared" si="0"/>
        <v>2553178</v>
      </c>
      <c r="O27" s="238">
        <f t="shared" si="1"/>
        <v>2553178</v>
      </c>
      <c r="P27" s="317"/>
      <c r="Q27" s="318"/>
      <c r="R27" s="318"/>
      <c r="S27" s="319"/>
      <c r="T27" s="328">
        <f>'Project Final Cost Tracking'!C26</f>
        <v>0</v>
      </c>
      <c r="U27" s="339">
        <f t="shared" si="9"/>
        <v>-1625436.9808923285</v>
      </c>
      <c r="V27" s="338">
        <f t="shared" si="2"/>
        <v>-3.7293588296282043</v>
      </c>
      <c r="W27" s="339">
        <f t="shared" si="10"/>
        <v>146684.480092193</v>
      </c>
      <c r="X27" s="340">
        <f t="shared" si="3"/>
        <v>0</v>
      </c>
      <c r="Y27" s="237">
        <f t="shared" si="11"/>
        <v>395625.1</v>
      </c>
      <c r="Z27" s="253">
        <f t="shared" si="12"/>
        <v>6.9918405683897138E-3</v>
      </c>
      <c r="AA27" s="238">
        <f t="shared" si="4"/>
        <v>5636.3091573761567</v>
      </c>
      <c r="AB27" s="236">
        <f>ROUND($C27*Allocations!$B$16,2)</f>
        <v>393804.77</v>
      </c>
      <c r="AC27" s="239">
        <f>$C27*Allocations!$B$24</f>
        <v>0</v>
      </c>
      <c r="AD27" s="242">
        <f t="shared" si="5"/>
        <v>-1619800.67</v>
      </c>
      <c r="AE27" s="153"/>
      <c r="AF27" s="141"/>
      <c r="AG27" s="151">
        <f>Clinton!C8</f>
        <v>2271892</v>
      </c>
      <c r="AH27" s="146">
        <f>Clinton!D8</f>
        <v>2271892</v>
      </c>
      <c r="AI27" s="145"/>
      <c r="AJ27" s="146"/>
      <c r="AK27" s="151">
        <f>Clinton!C9</f>
        <v>281286</v>
      </c>
      <c r="AL27" s="146">
        <f>Clinton!D9</f>
        <v>281286</v>
      </c>
      <c r="AM27" s="145"/>
      <c r="AN27" s="146"/>
      <c r="AO27" s="145"/>
      <c r="AP27" s="146"/>
      <c r="AQ27" s="145"/>
      <c r="AR27" s="146"/>
      <c r="AS27" s="145"/>
      <c r="AT27" s="146"/>
      <c r="AU27" s="145"/>
      <c r="AV27" s="146"/>
      <c r="AW27" s="148"/>
      <c r="AX27" s="141"/>
      <c r="AY27" s="145"/>
      <c r="AZ27" s="146"/>
      <c r="BA27" s="149"/>
      <c r="BB27" s="150"/>
      <c r="BC27" s="179"/>
      <c r="BD27" s="176"/>
    </row>
    <row r="28" spans="1:56" s="30" customFormat="1" ht="12.75">
      <c r="A28" s="97" t="s">
        <v>25</v>
      </c>
      <c r="B28" s="47">
        <v>24</v>
      </c>
      <c r="C28" s="245">
        <v>8.0242144564422087E-3</v>
      </c>
      <c r="D28" s="237">
        <v>492522.60387246363</v>
      </c>
      <c r="E28" s="238">
        <v>101521.79977485175</v>
      </c>
      <c r="F28" s="597">
        <v>451157.07248440007</v>
      </c>
      <c r="G28" s="238">
        <v>91267.46</v>
      </c>
      <c r="H28" s="427">
        <v>490407.88</v>
      </c>
      <c r="I28" s="388">
        <f>$C28*Allocations!$B$16</f>
        <v>461773.73018275615</v>
      </c>
      <c r="J28" s="235">
        <f t="shared" si="6"/>
        <v>2088650.5463144714</v>
      </c>
      <c r="K28" s="165">
        <f t="shared" si="7"/>
        <v>522162.64</v>
      </c>
      <c r="L28" s="809">
        <v>-1957187.15</v>
      </c>
      <c r="M28" s="425">
        <f t="shared" si="8"/>
        <v>-1495413.4198172437</v>
      </c>
      <c r="N28" s="237">
        <f t="shared" si="0"/>
        <v>0</v>
      </c>
      <c r="O28" s="238">
        <f t="shared" si="1"/>
        <v>0</v>
      </c>
      <c r="P28" s="317"/>
      <c r="Q28" s="318"/>
      <c r="R28" s="318"/>
      <c r="S28" s="319"/>
      <c r="T28" s="328">
        <f>'Project Final Cost Tracking'!C27</f>
        <v>-48340.760000000009</v>
      </c>
      <c r="U28" s="339">
        <f t="shared" si="9"/>
        <v>-1447072.6598172437</v>
      </c>
      <c r="V28" s="338">
        <f t="shared" si="2"/>
        <v>-2.7713063880197244</v>
      </c>
      <c r="W28" s="339">
        <f t="shared" si="10"/>
        <v>630909.12600515899</v>
      </c>
      <c r="X28" s="340">
        <f t="shared" si="3"/>
        <v>0</v>
      </c>
      <c r="Y28" s="237">
        <f t="shared" si="11"/>
        <v>490407.88</v>
      </c>
      <c r="Z28" s="253">
        <f t="shared" si="12"/>
        <v>8.666926619271615E-3</v>
      </c>
      <c r="AA28" s="238">
        <f t="shared" si="4"/>
        <v>6986.6406982100671</v>
      </c>
      <c r="AB28" s="236">
        <f>ROUND($C28*Allocations!$B$16,2)</f>
        <v>461773.73</v>
      </c>
      <c r="AC28" s="239">
        <f>$C28*Allocations!$B$24</f>
        <v>0</v>
      </c>
      <c r="AD28" s="242">
        <f t="shared" si="5"/>
        <v>-1440086.02</v>
      </c>
      <c r="AE28" s="153"/>
      <c r="AF28" s="141"/>
      <c r="AG28" s="151"/>
      <c r="AH28" s="146"/>
      <c r="AI28" s="145"/>
      <c r="AJ28" s="146"/>
      <c r="AK28" s="151"/>
      <c r="AL28" s="146"/>
      <c r="AM28" s="145"/>
      <c r="AN28" s="146"/>
      <c r="AO28" s="145"/>
      <c r="AP28" s="146"/>
      <c r="AQ28" s="145"/>
      <c r="AR28" s="146"/>
      <c r="AS28" s="145"/>
      <c r="AT28" s="146"/>
      <c r="AU28" s="145"/>
      <c r="AV28" s="146"/>
      <c r="AW28" s="148"/>
      <c r="AX28" s="141"/>
      <c r="AY28" s="145"/>
      <c r="AZ28" s="146"/>
      <c r="BA28" s="149"/>
      <c r="BB28" s="150"/>
      <c r="BC28" s="179"/>
      <c r="BD28" s="176"/>
    </row>
    <row r="29" spans="1:56" s="30" customFormat="1" ht="12.75">
      <c r="A29" s="98" t="s">
        <v>26</v>
      </c>
      <c r="B29" s="46">
        <v>25</v>
      </c>
      <c r="C29" s="246">
        <v>6.314267211324589E-3</v>
      </c>
      <c r="D29" s="303">
        <v>391469.04883427813</v>
      </c>
      <c r="E29" s="341">
        <v>80692.017140590789</v>
      </c>
      <c r="F29" s="595">
        <v>380524.10360093351</v>
      </c>
      <c r="G29" s="341">
        <v>76978.66</v>
      </c>
      <c r="H29" s="428">
        <v>366335.89</v>
      </c>
      <c r="I29" s="389">
        <f>$C29*Allocations!$B$16</f>
        <v>363370.48808598536</v>
      </c>
      <c r="J29" s="385">
        <f t="shared" si="6"/>
        <v>1659370.207661788</v>
      </c>
      <c r="K29" s="168">
        <f t="shared" si="7"/>
        <v>414842.55</v>
      </c>
      <c r="L29" s="810">
        <v>723373.29</v>
      </c>
      <c r="M29" s="426">
        <f t="shared" si="8"/>
        <v>1086743.7780859855</v>
      </c>
      <c r="N29" s="303">
        <f t="shared" si="0"/>
        <v>0</v>
      </c>
      <c r="O29" s="341">
        <f t="shared" si="1"/>
        <v>0</v>
      </c>
      <c r="P29" s="342"/>
      <c r="Q29" s="343"/>
      <c r="R29" s="343"/>
      <c r="S29" s="344"/>
      <c r="T29" s="188">
        <f>'Project Final Cost Tracking'!C28</f>
        <v>0</v>
      </c>
      <c r="U29" s="346">
        <f t="shared" si="9"/>
        <v>1086743.7780859855</v>
      </c>
      <c r="V29" s="345">
        <f t="shared" si="2"/>
        <v>2.6196535964933818</v>
      </c>
      <c r="W29" s="346">
        <f t="shared" si="10"/>
        <v>2721910.9744729195</v>
      </c>
      <c r="X29" s="347">
        <f t="shared" si="3"/>
        <v>0</v>
      </c>
      <c r="Y29" s="303">
        <f t="shared" si="11"/>
        <v>366335.89</v>
      </c>
      <c r="Z29" s="348">
        <f t="shared" si="12"/>
        <v>6.4742154563983724E-3</v>
      </c>
      <c r="AA29" s="341">
        <f t="shared" si="4"/>
        <v>5219.0377493302231</v>
      </c>
      <c r="AB29" s="231">
        <f>ROUND($C29*Allocations!$B$16,2)</f>
        <v>363370.49</v>
      </c>
      <c r="AC29" s="240">
        <f>$C29*Allocations!$B$24</f>
        <v>0</v>
      </c>
      <c r="AD29" s="244">
        <f t="shared" si="5"/>
        <v>1091962.82</v>
      </c>
      <c r="AE29" s="162"/>
      <c r="AF29" s="159"/>
      <c r="AG29" s="174"/>
      <c r="AH29" s="157"/>
      <c r="AI29" s="156"/>
      <c r="AJ29" s="157"/>
      <c r="AK29" s="174"/>
      <c r="AL29" s="157"/>
      <c r="AM29" s="156"/>
      <c r="AN29" s="157"/>
      <c r="AO29" s="156"/>
      <c r="AP29" s="157"/>
      <c r="AQ29" s="156"/>
      <c r="AR29" s="157"/>
      <c r="AS29" s="156"/>
      <c r="AT29" s="157"/>
      <c r="AU29" s="156"/>
      <c r="AV29" s="157"/>
      <c r="AW29" s="158"/>
      <c r="AX29" s="159"/>
      <c r="AY29" s="156"/>
      <c r="AZ29" s="157"/>
      <c r="BA29" s="160"/>
      <c r="BB29" s="161"/>
      <c r="BC29" s="180"/>
      <c r="BD29" s="176"/>
    </row>
    <row r="30" spans="1:56" s="30" customFormat="1" ht="12.75">
      <c r="A30" s="97" t="s">
        <v>27</v>
      </c>
      <c r="B30" s="47">
        <v>26</v>
      </c>
      <c r="C30" s="245">
        <v>1.301474037566162E-2</v>
      </c>
      <c r="D30" s="237">
        <v>713786.74049885338</v>
      </c>
      <c r="E30" s="238">
        <v>147130.12962473719</v>
      </c>
      <c r="F30" s="597">
        <v>696437.81193386612</v>
      </c>
      <c r="G30" s="238">
        <v>140886.87</v>
      </c>
      <c r="H30" s="427">
        <v>759186.2</v>
      </c>
      <c r="I30" s="388">
        <f>$C30*Allocations!$B$16</f>
        <v>748966.17522533878</v>
      </c>
      <c r="J30" s="235">
        <f t="shared" si="6"/>
        <v>3206393.9272827953</v>
      </c>
      <c r="K30" s="165">
        <f t="shared" si="7"/>
        <v>801598.48</v>
      </c>
      <c r="L30" s="809">
        <v>578587.06999999995</v>
      </c>
      <c r="M30" s="425">
        <f t="shared" si="8"/>
        <v>1327553.2452253387</v>
      </c>
      <c r="N30" s="237">
        <f t="shared" si="0"/>
        <v>0</v>
      </c>
      <c r="O30" s="238">
        <f t="shared" si="1"/>
        <v>0</v>
      </c>
      <c r="P30" s="317"/>
      <c r="Q30" s="318"/>
      <c r="R30" s="318"/>
      <c r="S30" s="319"/>
      <c r="T30" s="328">
        <f>'Project Final Cost Tracking'!C29</f>
        <v>0</v>
      </c>
      <c r="U30" s="339">
        <f t="shared" si="9"/>
        <v>1327553.2452253387</v>
      </c>
      <c r="V30" s="338">
        <f t="shared" si="2"/>
        <v>1.6561324383066929</v>
      </c>
      <c r="W30" s="339">
        <f t="shared" si="10"/>
        <v>4697901.0337393638</v>
      </c>
      <c r="X30" s="340">
        <f t="shared" si="3"/>
        <v>0</v>
      </c>
      <c r="Y30" s="237">
        <f t="shared" si="11"/>
        <v>759186.2</v>
      </c>
      <c r="Z30" s="253">
        <f t="shared" si="12"/>
        <v>1.3417017454457836E-2</v>
      </c>
      <c r="AA30" s="238">
        <f t="shared" si="4"/>
        <v>10815.815607284791</v>
      </c>
      <c r="AB30" s="236">
        <f>ROUND($C30*Allocations!$B$16,2)</f>
        <v>748966.18</v>
      </c>
      <c r="AC30" s="239">
        <f>$C30*Allocations!$B$24</f>
        <v>0</v>
      </c>
      <c r="AD30" s="242">
        <f t="shared" si="5"/>
        <v>1338369.07</v>
      </c>
      <c r="AE30" s="153"/>
      <c r="AF30" s="141"/>
      <c r="AG30" s="151"/>
      <c r="AH30" s="146"/>
      <c r="AI30" s="145"/>
      <c r="AJ30" s="146"/>
      <c r="AK30" s="151"/>
      <c r="AL30" s="146"/>
      <c r="AM30" s="145"/>
      <c r="AN30" s="146"/>
      <c r="AO30" s="145"/>
      <c r="AP30" s="146"/>
      <c r="AQ30" s="145"/>
      <c r="AR30" s="146"/>
      <c r="AS30" s="145"/>
      <c r="AT30" s="146"/>
      <c r="AU30" s="145"/>
      <c r="AV30" s="146"/>
      <c r="AW30" s="148"/>
      <c r="AX30" s="141"/>
      <c r="AY30" s="145"/>
      <c r="AZ30" s="146"/>
      <c r="BA30" s="149"/>
      <c r="BB30" s="150"/>
      <c r="BC30" s="179"/>
      <c r="BD30" s="176"/>
    </row>
    <row r="31" spans="1:56" s="30" customFormat="1" ht="12.75">
      <c r="A31" s="97" t="s">
        <v>28</v>
      </c>
      <c r="B31" s="47">
        <v>27</v>
      </c>
      <c r="C31" s="245">
        <v>1.5525780162342734E-2</v>
      </c>
      <c r="D31" s="237">
        <v>765290.18201941228</v>
      </c>
      <c r="E31" s="238">
        <v>157746.33695543651</v>
      </c>
      <c r="F31" s="597">
        <v>938979.74253536842</v>
      </c>
      <c r="G31" s="238">
        <v>189952.23</v>
      </c>
      <c r="H31" s="427">
        <v>899523.49</v>
      </c>
      <c r="I31" s="388">
        <f>$C31*Allocations!$B$16</f>
        <v>893470.3151916035</v>
      </c>
      <c r="J31" s="235">
        <f t="shared" si="6"/>
        <v>3844962.2967018206</v>
      </c>
      <c r="K31" s="165">
        <f t="shared" si="7"/>
        <v>961240.57</v>
      </c>
      <c r="L31" s="809">
        <v>2491604.02</v>
      </c>
      <c r="M31" s="425">
        <f t="shared" si="8"/>
        <v>3385074.3351916037</v>
      </c>
      <c r="N31" s="237">
        <f t="shared" si="0"/>
        <v>1599950.58</v>
      </c>
      <c r="O31" s="238">
        <f t="shared" si="1"/>
        <v>319990.11600000004</v>
      </c>
      <c r="P31" s="317"/>
      <c r="Q31" s="318"/>
      <c r="R31" s="318"/>
      <c r="S31" s="319"/>
      <c r="T31" s="328">
        <f>'Project Final Cost Tracking'!C30</f>
        <v>0</v>
      </c>
      <c r="U31" s="339">
        <f t="shared" si="9"/>
        <v>3065084.2191916038</v>
      </c>
      <c r="V31" s="338">
        <f t="shared" si="2"/>
        <v>3.1886754625760374</v>
      </c>
      <c r="W31" s="339">
        <f t="shared" si="10"/>
        <v>7085700.6375538195</v>
      </c>
      <c r="X31" s="340">
        <f t="shared" si="3"/>
        <v>0</v>
      </c>
      <c r="Y31" s="237">
        <f t="shared" si="11"/>
        <v>899523.49</v>
      </c>
      <c r="Z31" s="253">
        <f t="shared" si="12"/>
        <v>1.5897183544728327E-2</v>
      </c>
      <c r="AA31" s="238">
        <f t="shared" si="4"/>
        <v>12815.143639677968</v>
      </c>
      <c r="AB31" s="236">
        <f>ROUND($C31*Allocations!$B$16,2)</f>
        <v>893470.32</v>
      </c>
      <c r="AC31" s="239">
        <f>$C31*Allocations!$B$24</f>
        <v>0</v>
      </c>
      <c r="AD31" s="242">
        <f t="shared" si="5"/>
        <v>3077899.37</v>
      </c>
      <c r="AE31" s="153"/>
      <c r="AF31" s="141"/>
      <c r="AG31" s="151"/>
      <c r="AH31" s="146"/>
      <c r="AI31" s="145"/>
      <c r="AJ31" s="165"/>
      <c r="AK31" s="151"/>
      <c r="AL31" s="146"/>
      <c r="AM31" s="145"/>
      <c r="AN31" s="146"/>
      <c r="AO31" s="145"/>
      <c r="AP31" s="146"/>
      <c r="AQ31" s="145"/>
      <c r="AR31" s="146"/>
      <c r="AS31" s="145"/>
      <c r="AT31" s="146"/>
      <c r="AU31" s="145"/>
      <c r="AV31" s="146"/>
      <c r="AW31" s="148"/>
      <c r="AX31" s="141"/>
      <c r="AY31" s="145">
        <f>Decatur!C10</f>
        <v>1599950.58</v>
      </c>
      <c r="AZ31" s="146">
        <f>Decatur!D10</f>
        <v>319990.11600000004</v>
      </c>
      <c r="BA31" s="149"/>
      <c r="BB31" s="150"/>
      <c r="BC31" s="179"/>
      <c r="BD31" s="176"/>
    </row>
    <row r="32" spans="1:56" s="30" customFormat="1" ht="12.75">
      <c r="A32" s="97" t="s">
        <v>29</v>
      </c>
      <c r="B32" s="47">
        <v>28</v>
      </c>
      <c r="C32" s="245">
        <v>5.3566297208579227E-3</v>
      </c>
      <c r="D32" s="237">
        <v>320493.22923441563</v>
      </c>
      <c r="E32" s="238">
        <v>66062.043024440194</v>
      </c>
      <c r="F32" s="597">
        <v>316892.73334399785</v>
      </c>
      <c r="G32" s="238">
        <v>64106.26</v>
      </c>
      <c r="H32" s="427">
        <v>283071.94</v>
      </c>
      <c r="I32" s="388">
        <f>$C32*Allocations!$B$16</f>
        <v>308260.81491659267</v>
      </c>
      <c r="J32" s="235">
        <f t="shared" si="6"/>
        <v>1358887.0205194461</v>
      </c>
      <c r="K32" s="165">
        <f t="shared" si="7"/>
        <v>339721.76</v>
      </c>
      <c r="L32" s="809">
        <v>-804092.04</v>
      </c>
      <c r="M32" s="425">
        <f t="shared" si="8"/>
        <v>-495831.22508340736</v>
      </c>
      <c r="N32" s="237">
        <f t="shared" si="0"/>
        <v>102951</v>
      </c>
      <c r="O32" s="238">
        <f t="shared" si="1"/>
        <v>102951</v>
      </c>
      <c r="P32" s="317"/>
      <c r="Q32" s="318"/>
      <c r="R32" s="318"/>
      <c r="S32" s="319"/>
      <c r="T32" s="328">
        <f>'Project Final Cost Tracking'!C31</f>
        <v>0</v>
      </c>
      <c r="U32" s="339">
        <f t="shared" si="9"/>
        <v>-598782.22508340736</v>
      </c>
      <c r="V32" s="338">
        <f t="shared" si="2"/>
        <v>-1.7625665929771686</v>
      </c>
      <c r="W32" s="339">
        <f t="shared" si="10"/>
        <v>788391.44204125961</v>
      </c>
      <c r="X32" s="340">
        <f t="shared" si="3"/>
        <v>0</v>
      </c>
      <c r="Y32" s="237">
        <f t="shared" si="11"/>
        <v>283071.94</v>
      </c>
      <c r="Z32" s="253">
        <f t="shared" si="12"/>
        <v>5.0027004703816292E-3</v>
      </c>
      <c r="AA32" s="238">
        <f t="shared" si="4"/>
        <v>4032.8102732062098</v>
      </c>
      <c r="AB32" s="236">
        <f>ROUND($C32*Allocations!$B$16,2)</f>
        <v>308260.81</v>
      </c>
      <c r="AC32" s="239">
        <f>$C32*Allocations!$B$24</f>
        <v>0</v>
      </c>
      <c r="AD32" s="242">
        <f t="shared" si="5"/>
        <v>-594749.42000000004</v>
      </c>
      <c r="AE32" s="153"/>
      <c r="AF32" s="141"/>
      <c r="AG32" s="151"/>
      <c r="AH32" s="146"/>
      <c r="AI32" s="145">
        <f>Delaware!C7</f>
        <v>102951</v>
      </c>
      <c r="AJ32" s="146">
        <f>Delaware!D7</f>
        <v>102951</v>
      </c>
      <c r="AK32" s="151"/>
      <c r="AL32" s="181"/>
      <c r="AM32" s="145"/>
      <c r="AN32" s="146"/>
      <c r="AO32" s="145"/>
      <c r="AP32" s="146"/>
      <c r="AQ32" s="145"/>
      <c r="AR32" s="146"/>
      <c r="AS32" s="145"/>
      <c r="AT32" s="146"/>
      <c r="AU32" s="145"/>
      <c r="AV32" s="146"/>
      <c r="AW32" s="148"/>
      <c r="AX32" s="141"/>
      <c r="AY32" s="145"/>
      <c r="AZ32" s="146"/>
      <c r="BA32" s="149"/>
      <c r="BB32" s="150"/>
      <c r="BC32" s="179"/>
      <c r="BD32" s="176"/>
    </row>
    <row r="33" spans="1:56" s="30" customFormat="1" ht="12.75">
      <c r="A33" s="97" t="s">
        <v>30</v>
      </c>
      <c r="B33" s="47">
        <v>29</v>
      </c>
      <c r="C33" s="245">
        <v>8.0378080487281765E-3</v>
      </c>
      <c r="D33" s="237">
        <v>502640.13192067639</v>
      </c>
      <c r="E33" s="238">
        <v>103607.28711827747</v>
      </c>
      <c r="F33" s="597">
        <v>475206.28891101276</v>
      </c>
      <c r="G33" s="238">
        <v>96132.53</v>
      </c>
      <c r="H33" s="427">
        <v>477064.31</v>
      </c>
      <c r="I33" s="388">
        <f>$C33*Allocations!$B$16</f>
        <v>462556.00785623427</v>
      </c>
      <c r="J33" s="235">
        <f t="shared" si="6"/>
        <v>2117206.555806201</v>
      </c>
      <c r="K33" s="165">
        <f t="shared" si="7"/>
        <v>529301.64</v>
      </c>
      <c r="L33" s="809">
        <v>621470.18000000005</v>
      </c>
      <c r="M33" s="425">
        <f t="shared" si="8"/>
        <v>1084026.1878562344</v>
      </c>
      <c r="N33" s="237">
        <f t="shared" si="0"/>
        <v>2254835.9500000002</v>
      </c>
      <c r="O33" s="238">
        <f t="shared" si="1"/>
        <v>2254835.9500000002</v>
      </c>
      <c r="P33" s="317"/>
      <c r="Q33" s="318"/>
      <c r="R33" s="318"/>
      <c r="S33" s="319"/>
      <c r="T33" s="328">
        <f>'Project Final Cost Tracking'!C32</f>
        <v>0</v>
      </c>
      <c r="U33" s="339">
        <f t="shared" si="9"/>
        <v>-1170809.7621437658</v>
      </c>
      <c r="V33" s="338">
        <f t="shared" si="2"/>
        <v>-2.2119896740614022</v>
      </c>
      <c r="W33" s="339">
        <f t="shared" si="10"/>
        <v>910692.27320928848</v>
      </c>
      <c r="X33" s="340">
        <f t="shared" si="3"/>
        <v>0</v>
      </c>
      <c r="Y33" s="237">
        <f t="shared" si="11"/>
        <v>477064.31</v>
      </c>
      <c r="Z33" s="253">
        <f t="shared" si="12"/>
        <v>8.4311071172907051E-3</v>
      </c>
      <c r="AA33" s="238">
        <f t="shared" si="4"/>
        <v>6796.540308262388</v>
      </c>
      <c r="AB33" s="236">
        <f>ROUND($C33*Allocations!$B$16,2)</f>
        <v>462556.01</v>
      </c>
      <c r="AC33" s="239">
        <f>$C33*Allocations!$B$24</f>
        <v>0</v>
      </c>
      <c r="AD33" s="242">
        <f t="shared" si="5"/>
        <v>-1164013.22</v>
      </c>
      <c r="AE33" s="153"/>
      <c r="AF33" s="141"/>
      <c r="AG33" s="151"/>
      <c r="AH33" s="146"/>
      <c r="AI33" s="145">
        <f>'Des Moines'!C7+'Des Moines'!C8</f>
        <v>2254835.9500000002</v>
      </c>
      <c r="AJ33" s="146">
        <f>'Des Moines'!D7+'Des Moines'!D8</f>
        <v>2254835.9500000002</v>
      </c>
      <c r="AK33" s="151"/>
      <c r="AL33" s="146"/>
      <c r="AM33" s="145"/>
      <c r="AN33" s="146"/>
      <c r="AO33" s="145"/>
      <c r="AP33" s="146"/>
      <c r="AQ33" s="145"/>
      <c r="AR33" s="146"/>
      <c r="AS33" s="145"/>
      <c r="AT33" s="146"/>
      <c r="AU33" s="145"/>
      <c r="AV33" s="146"/>
      <c r="AW33" s="148"/>
      <c r="AX33" s="141"/>
      <c r="AY33" s="145"/>
      <c r="AZ33" s="146"/>
      <c r="BA33" s="149"/>
      <c r="BB33" s="150"/>
      <c r="BC33" s="179"/>
      <c r="BD33" s="176"/>
    </row>
    <row r="34" spans="1:56" s="30" customFormat="1" ht="12.75">
      <c r="A34" s="98" t="s">
        <v>31</v>
      </c>
      <c r="B34" s="46">
        <v>30</v>
      </c>
      <c r="C34" s="246">
        <v>4.7730802747751747E-3</v>
      </c>
      <c r="D34" s="303">
        <v>293835.90340709774</v>
      </c>
      <c r="E34" s="341">
        <v>60567.270451779281</v>
      </c>
      <c r="F34" s="595">
        <v>288501.29835852166</v>
      </c>
      <c r="G34" s="341">
        <v>58362.78</v>
      </c>
      <c r="H34" s="428">
        <v>309243.49</v>
      </c>
      <c r="I34" s="389">
        <f>$C34*Allocations!$B$16</f>
        <v>274678.98507811286</v>
      </c>
      <c r="J34" s="385">
        <f t="shared" si="6"/>
        <v>1285189.7272955116</v>
      </c>
      <c r="K34" s="168">
        <f t="shared" si="7"/>
        <v>321297.43</v>
      </c>
      <c r="L34" s="810">
        <v>556839.46</v>
      </c>
      <c r="M34" s="426">
        <f t="shared" si="8"/>
        <v>831518.44507811288</v>
      </c>
      <c r="N34" s="303">
        <f t="shared" si="0"/>
        <v>617146.63</v>
      </c>
      <c r="O34" s="341">
        <f t="shared" si="1"/>
        <v>617146.63</v>
      </c>
      <c r="P34" s="342"/>
      <c r="Q34" s="343"/>
      <c r="R34" s="343"/>
      <c r="S34" s="344"/>
      <c r="T34" s="188">
        <f>'Project Final Cost Tracking'!C33</f>
        <v>0</v>
      </c>
      <c r="U34" s="346">
        <f t="shared" si="9"/>
        <v>214371.81507811288</v>
      </c>
      <c r="V34" s="345">
        <f t="shared" si="2"/>
        <v>0.66720675318851097</v>
      </c>
      <c r="W34" s="346">
        <f t="shared" si="10"/>
        <v>1450427.2479296206</v>
      </c>
      <c r="X34" s="347">
        <f t="shared" si="3"/>
        <v>0</v>
      </c>
      <c r="Y34" s="303">
        <f t="shared" si="11"/>
        <v>309243.49</v>
      </c>
      <c r="Z34" s="348">
        <f t="shared" si="12"/>
        <v>5.4652275067795719E-3</v>
      </c>
      <c r="AA34" s="341">
        <f t="shared" si="4"/>
        <v>4405.6656530284909</v>
      </c>
      <c r="AB34" s="231">
        <f>ROUND($C34*Allocations!$B$16,2)</f>
        <v>274678.99</v>
      </c>
      <c r="AC34" s="240">
        <f>$C34*Allocations!$B$24</f>
        <v>0</v>
      </c>
      <c r="AD34" s="244">
        <f t="shared" si="5"/>
        <v>218777.49</v>
      </c>
      <c r="AE34" s="162"/>
      <c r="AF34" s="159"/>
      <c r="AG34" s="174"/>
      <c r="AH34" s="157"/>
      <c r="AI34" s="156"/>
      <c r="AJ34" s="157"/>
      <c r="AK34" s="174"/>
      <c r="AL34" s="157"/>
      <c r="AM34" s="156"/>
      <c r="AN34" s="157"/>
      <c r="AO34" s="156"/>
      <c r="AP34" s="157"/>
      <c r="AQ34" s="156">
        <f>Dickinson!C6+Dickinson!C7</f>
        <v>617146.63</v>
      </c>
      <c r="AR34" s="157">
        <f>Dickinson!D6+Dickinson!D7</f>
        <v>617146.63</v>
      </c>
      <c r="AS34" s="156"/>
      <c r="AT34" s="157"/>
      <c r="AU34" s="156"/>
      <c r="AV34" s="157"/>
      <c r="AW34" s="158"/>
      <c r="AX34" s="159"/>
      <c r="AY34" s="156"/>
      <c r="AZ34" s="157"/>
      <c r="BA34" s="160"/>
      <c r="BB34" s="161"/>
      <c r="BC34" s="180"/>
      <c r="BD34" s="176"/>
    </row>
    <row r="35" spans="1:56" s="30" customFormat="1" ht="12.75">
      <c r="A35" s="97" t="s">
        <v>32</v>
      </c>
      <c r="B35" s="47">
        <v>31</v>
      </c>
      <c r="C35" s="245">
        <v>8.277735497409424E-3</v>
      </c>
      <c r="D35" s="237">
        <v>541935.48126711824</v>
      </c>
      <c r="E35" s="238">
        <v>111707.08712149791</v>
      </c>
      <c r="F35" s="597">
        <v>482932.90134003235</v>
      </c>
      <c r="G35" s="238">
        <v>97695.59</v>
      </c>
      <c r="H35" s="427">
        <v>475922.37</v>
      </c>
      <c r="I35" s="388">
        <f>$C35*Allocations!$B$16</f>
        <v>476363.24014696927</v>
      </c>
      <c r="J35" s="235">
        <f t="shared" si="6"/>
        <v>2186556.6698756181</v>
      </c>
      <c r="K35" s="165">
        <f t="shared" si="7"/>
        <v>546639.17000000004</v>
      </c>
      <c r="L35" s="809">
        <v>-2021220.09</v>
      </c>
      <c r="M35" s="425">
        <f t="shared" si="8"/>
        <v>-1544856.8498530309</v>
      </c>
      <c r="N35" s="237">
        <f t="shared" si="0"/>
        <v>0</v>
      </c>
      <c r="O35" s="238">
        <f t="shared" si="1"/>
        <v>0</v>
      </c>
      <c r="P35" s="317"/>
      <c r="Q35" s="318"/>
      <c r="R35" s="318"/>
      <c r="S35" s="319"/>
      <c r="T35" s="328">
        <f>'Project Final Cost Tracking'!C34</f>
        <v>-21794.150000000023</v>
      </c>
      <c r="U35" s="339">
        <f t="shared" si="9"/>
        <v>-1523062.699853031</v>
      </c>
      <c r="V35" s="338">
        <f t="shared" si="2"/>
        <v>-2.7862304486029257</v>
      </c>
      <c r="W35" s="339">
        <f t="shared" si="10"/>
        <v>620571.88080833061</v>
      </c>
      <c r="X35" s="340">
        <f t="shared" si="3"/>
        <v>0</v>
      </c>
      <c r="Y35" s="237">
        <f t="shared" si="11"/>
        <v>475922.37</v>
      </c>
      <c r="Z35" s="253">
        <f t="shared" si="12"/>
        <v>8.4109257323920546E-3</v>
      </c>
      <c r="AA35" s="238">
        <f t="shared" si="4"/>
        <v>6780.2715556499415</v>
      </c>
      <c r="AB35" s="236">
        <f>ROUND($C35*Allocations!$B$16,2)</f>
        <v>476363.24</v>
      </c>
      <c r="AC35" s="239">
        <f>$C35*Allocations!$B$24</f>
        <v>0</v>
      </c>
      <c r="AD35" s="242">
        <f t="shared" si="5"/>
        <v>-1516282.43</v>
      </c>
      <c r="AE35" s="153"/>
      <c r="AF35" s="141"/>
      <c r="AG35" s="151"/>
      <c r="AH35" s="146"/>
      <c r="AI35" s="145"/>
      <c r="AJ35" s="146"/>
      <c r="AK35" s="151"/>
      <c r="AL35" s="146"/>
      <c r="AM35" s="145"/>
      <c r="AN35" s="146"/>
      <c r="AO35" s="145"/>
      <c r="AP35" s="146"/>
      <c r="AQ35" s="145"/>
      <c r="AR35" s="146"/>
      <c r="AS35" s="145"/>
      <c r="AT35" s="146"/>
      <c r="AU35" s="145"/>
      <c r="AV35" s="146"/>
      <c r="AW35" s="148"/>
      <c r="AX35" s="141"/>
      <c r="AY35" s="145"/>
      <c r="AZ35" s="146"/>
      <c r="BA35" s="149"/>
      <c r="BB35" s="150"/>
      <c r="BC35" s="179"/>
      <c r="BD35" s="176"/>
    </row>
    <row r="36" spans="1:56" s="30" customFormat="1" ht="12.75">
      <c r="A36" s="97" t="s">
        <v>33</v>
      </c>
      <c r="B36" s="47">
        <v>32</v>
      </c>
      <c r="C36" s="245">
        <v>2.7709572722588926E-3</v>
      </c>
      <c r="D36" s="237">
        <v>157838.05583540542</v>
      </c>
      <c r="E36" s="238">
        <v>32534.554506503911</v>
      </c>
      <c r="F36" s="597">
        <v>155436.26826330239</v>
      </c>
      <c r="G36" s="238">
        <v>31444.2</v>
      </c>
      <c r="H36" s="427">
        <v>156612.17000000001</v>
      </c>
      <c r="I36" s="388">
        <f>$C36*Allocations!$B$16</f>
        <v>159461.74952499405</v>
      </c>
      <c r="J36" s="235">
        <f t="shared" si="6"/>
        <v>693326.99813020579</v>
      </c>
      <c r="K36" s="165">
        <f t="shared" si="7"/>
        <v>173331.75</v>
      </c>
      <c r="L36" s="809">
        <v>317348.38</v>
      </c>
      <c r="M36" s="425">
        <f t="shared" si="8"/>
        <v>476810.12952499406</v>
      </c>
      <c r="N36" s="237">
        <f t="shared" si="0"/>
        <v>0</v>
      </c>
      <c r="O36" s="238">
        <f t="shared" si="1"/>
        <v>0</v>
      </c>
      <c r="P36" s="317"/>
      <c r="Q36" s="318"/>
      <c r="R36" s="318"/>
      <c r="S36" s="319"/>
      <c r="T36" s="328">
        <f>'Project Final Cost Tracking'!C35</f>
        <v>0</v>
      </c>
      <c r="U36" s="339">
        <f t="shared" si="9"/>
        <v>476810.12952499406</v>
      </c>
      <c r="V36" s="338">
        <f t="shared" si="2"/>
        <v>2.7508527983187965</v>
      </c>
      <c r="W36" s="339">
        <f t="shared" si="10"/>
        <v>1194388.0023874673</v>
      </c>
      <c r="X36" s="340">
        <f t="shared" si="3"/>
        <v>0</v>
      </c>
      <c r="Y36" s="237">
        <f t="shared" si="11"/>
        <v>156612.17000000001</v>
      </c>
      <c r="Z36" s="253">
        <f t="shared" si="12"/>
        <v>2.7677903239949806E-3</v>
      </c>
      <c r="AA36" s="238">
        <f t="shared" si="4"/>
        <v>2231.1895982523647</v>
      </c>
      <c r="AB36" s="236">
        <f>ROUND($C36*Allocations!$B$16,2)</f>
        <v>159461.75</v>
      </c>
      <c r="AC36" s="239">
        <f>$C36*Allocations!$B$24</f>
        <v>0</v>
      </c>
      <c r="AD36" s="242">
        <f t="shared" si="5"/>
        <v>479041.32</v>
      </c>
      <c r="AE36" s="153"/>
      <c r="AF36" s="141"/>
      <c r="AG36" s="151"/>
      <c r="AH36" s="146"/>
      <c r="AI36" s="145"/>
      <c r="AJ36" s="146"/>
      <c r="AK36" s="151"/>
      <c r="AL36" s="146"/>
      <c r="AM36" s="145"/>
      <c r="AN36" s="146"/>
      <c r="AO36" s="182"/>
      <c r="AP36" s="146"/>
      <c r="AQ36" s="145"/>
      <c r="AR36" s="146"/>
      <c r="AS36" s="145"/>
      <c r="AT36" s="146"/>
      <c r="AU36" s="145"/>
      <c r="AV36" s="146"/>
      <c r="AW36" s="148"/>
      <c r="AX36" s="141"/>
      <c r="AY36" s="145"/>
      <c r="AZ36" s="146"/>
      <c r="BA36" s="149"/>
      <c r="BB36" s="150"/>
      <c r="BC36" s="179"/>
      <c r="BD36" s="176"/>
    </row>
    <row r="37" spans="1:56" s="30" customFormat="1" ht="12.75">
      <c r="A37" s="97" t="s">
        <v>34</v>
      </c>
      <c r="B37" s="47">
        <v>33</v>
      </c>
      <c r="C37" s="245">
        <v>1.6423905032182943E-2</v>
      </c>
      <c r="D37" s="237">
        <v>730194.69815568347</v>
      </c>
      <c r="E37" s="238">
        <v>150512.23915403362</v>
      </c>
      <c r="F37" s="597">
        <v>752620.34068171505</v>
      </c>
      <c r="G37" s="238">
        <v>152252.39000000001</v>
      </c>
      <c r="H37" s="427">
        <v>844359.9</v>
      </c>
      <c r="I37" s="388">
        <f>$C37*Allocations!$B$16</f>
        <v>945155.18398060394</v>
      </c>
      <c r="J37" s="235">
        <f t="shared" si="6"/>
        <v>3575094.7519720364</v>
      </c>
      <c r="K37" s="165">
        <f t="shared" si="7"/>
        <v>893773.69</v>
      </c>
      <c r="L37" s="809">
        <v>1086993.8600000001</v>
      </c>
      <c r="M37" s="425">
        <f t="shared" si="8"/>
        <v>2032149.043980604</v>
      </c>
      <c r="N37" s="237">
        <f t="shared" ref="N37:N68" si="13">AE37+AG37+AI37+AK37+AM37+AO37+AQ37+AS37+AU37+AW37+AY37+BA37+BC37</f>
        <v>565752.75</v>
      </c>
      <c r="O37" s="238">
        <f t="shared" ref="O37:O68" si="14">AF37+AH37+AJ37+AL37+AN37+AP37+AR37+AT37+AV37+AX37+AZ37+BB37+BC37</f>
        <v>565752.75</v>
      </c>
      <c r="P37" s="317"/>
      <c r="Q37" s="318"/>
      <c r="R37" s="318"/>
      <c r="S37" s="319"/>
      <c r="T37" s="328">
        <f>'Project Final Cost Tracking'!C36</f>
        <v>0</v>
      </c>
      <c r="U37" s="339">
        <f t="shared" si="9"/>
        <v>1466396.293980604</v>
      </c>
      <c r="V37" s="338">
        <f t="shared" ref="V37:V68" si="15">$U37/$K37</f>
        <v>1.6406796377957871</v>
      </c>
      <c r="W37" s="339">
        <f t="shared" si="10"/>
        <v>5719594.6218933221</v>
      </c>
      <c r="X37" s="340">
        <f t="shared" ref="X37:X68" si="16">IF((($U37-$J37)-($Q37+$S37))&gt;0,(($U37-$J37)-($Q37+$S37)),0)</f>
        <v>0</v>
      </c>
      <c r="Y37" s="237">
        <f t="shared" si="11"/>
        <v>844359.9</v>
      </c>
      <c r="Z37" s="253">
        <f t="shared" si="12"/>
        <v>1.4922283250333415E-2</v>
      </c>
      <c r="AA37" s="238">
        <f t="shared" ref="AA37:AA68" si="17">IF($Z37&gt;0,$Z37*$X$104,0)</f>
        <v>12029.250511383672</v>
      </c>
      <c r="AB37" s="236">
        <f>ROUND($C37*Allocations!$B$16,2)</f>
        <v>945155.18</v>
      </c>
      <c r="AC37" s="239">
        <f>$C37*Allocations!$B$24</f>
        <v>0</v>
      </c>
      <c r="AD37" s="242">
        <f t="shared" ref="AD37:AD68" si="18">ROUND($L37+$AB37+$AC37+$AA37-$O37-$T37-$X37,2)</f>
        <v>1478425.54</v>
      </c>
      <c r="AE37" s="153"/>
      <c r="AF37" s="141"/>
      <c r="AG37" s="151">
        <f>Fayette!C19</f>
        <v>169273</v>
      </c>
      <c r="AH37" s="146">
        <f>Fayette!D19</f>
        <v>169273</v>
      </c>
      <c r="AI37" s="145"/>
      <c r="AJ37" s="146"/>
      <c r="AK37" s="151"/>
      <c r="AL37" s="146"/>
      <c r="AM37" s="145"/>
      <c r="AN37" s="146"/>
      <c r="AO37" s="599"/>
      <c r="AP37" s="146"/>
      <c r="AQ37" s="145"/>
      <c r="AR37" s="146"/>
      <c r="AS37" s="145"/>
      <c r="AT37" s="146"/>
      <c r="AU37" s="145"/>
      <c r="AV37" s="146"/>
      <c r="AW37" s="148"/>
      <c r="AX37" s="141"/>
      <c r="AY37" s="145">
        <f>Fayette!C20</f>
        <v>396479.75</v>
      </c>
      <c r="AZ37" s="146">
        <f>Fayette!D20</f>
        <v>396479.75</v>
      </c>
      <c r="BA37" s="149"/>
      <c r="BB37" s="150"/>
      <c r="BC37" s="179"/>
      <c r="BD37" s="176"/>
    </row>
    <row r="38" spans="1:56" s="30" customFormat="1" ht="12.75">
      <c r="A38" s="97" t="s">
        <v>35</v>
      </c>
      <c r="B38" s="47">
        <v>34</v>
      </c>
      <c r="C38" s="245">
        <v>1.180739180624105E-2</v>
      </c>
      <c r="D38" s="237">
        <v>745447.90132505703</v>
      </c>
      <c r="E38" s="238">
        <v>153656.32355931963</v>
      </c>
      <c r="F38" s="597">
        <v>686940.06031549629</v>
      </c>
      <c r="G38" s="238">
        <v>138965.51</v>
      </c>
      <c r="H38" s="427">
        <v>684242.98</v>
      </c>
      <c r="I38" s="388">
        <f>$C38*Allocations!$B$16</f>
        <v>679486.24599880283</v>
      </c>
      <c r="J38" s="235">
        <f t="shared" si="6"/>
        <v>3088739.021198676</v>
      </c>
      <c r="K38" s="165">
        <f t="shared" si="7"/>
        <v>772184.76</v>
      </c>
      <c r="L38" s="809">
        <v>-301611.07</v>
      </c>
      <c r="M38" s="425">
        <f t="shared" si="8"/>
        <v>377875.17599880282</v>
      </c>
      <c r="N38" s="237">
        <f t="shared" si="13"/>
        <v>0</v>
      </c>
      <c r="O38" s="238">
        <f t="shared" si="14"/>
        <v>0</v>
      </c>
      <c r="P38" s="317"/>
      <c r="Q38" s="318"/>
      <c r="R38" s="318"/>
      <c r="S38" s="319"/>
      <c r="T38" s="328">
        <f>'Project Final Cost Tracking'!C37</f>
        <v>0</v>
      </c>
      <c r="U38" s="339">
        <f t="shared" si="9"/>
        <v>377875.17599880282</v>
      </c>
      <c r="V38" s="338">
        <f t="shared" si="15"/>
        <v>0.48935850015843724</v>
      </c>
      <c r="W38" s="339">
        <f t="shared" si="10"/>
        <v>3435563.2829934154</v>
      </c>
      <c r="X38" s="340">
        <f t="shared" si="16"/>
        <v>0</v>
      </c>
      <c r="Y38" s="237">
        <f t="shared" si="11"/>
        <v>684242.98</v>
      </c>
      <c r="Z38" s="253">
        <f t="shared" si="12"/>
        <v>1.2092553850096648E-2</v>
      </c>
      <c r="AA38" s="238">
        <f t="shared" si="17"/>
        <v>9748.1301718327541</v>
      </c>
      <c r="AB38" s="236">
        <f>ROUND($C38*Allocations!$B$16,2)</f>
        <v>679486.25</v>
      </c>
      <c r="AC38" s="239">
        <f>$C38*Allocations!$B$24</f>
        <v>0</v>
      </c>
      <c r="AD38" s="242">
        <f t="shared" si="18"/>
        <v>387623.31</v>
      </c>
      <c r="AE38" s="153"/>
      <c r="AF38" s="141"/>
      <c r="AG38" s="151"/>
      <c r="AH38" s="146"/>
      <c r="AI38" s="145"/>
      <c r="AJ38" s="146"/>
      <c r="AK38" s="151"/>
      <c r="AL38" s="146"/>
      <c r="AM38" s="145"/>
      <c r="AN38" s="146"/>
      <c r="AO38" s="182"/>
      <c r="AP38" s="146"/>
      <c r="AQ38" s="145"/>
      <c r="AR38" s="146"/>
      <c r="AS38" s="145"/>
      <c r="AT38" s="146"/>
      <c r="AU38" s="145"/>
      <c r="AV38" s="146"/>
      <c r="AW38" s="148"/>
      <c r="AX38" s="141"/>
      <c r="AY38" s="145"/>
      <c r="AZ38" s="146"/>
      <c r="BA38" s="149"/>
      <c r="BB38" s="150"/>
      <c r="BC38" s="179"/>
      <c r="BD38" s="176"/>
    </row>
    <row r="39" spans="1:56" s="30" customFormat="1" ht="12.75">
      <c r="A39" s="98" t="s">
        <v>36</v>
      </c>
      <c r="B39" s="46">
        <v>35</v>
      </c>
      <c r="C39" s="246">
        <v>8.8174276715071061E-3</v>
      </c>
      <c r="D39" s="303">
        <v>413193.68926580175</v>
      </c>
      <c r="E39" s="341">
        <v>85170.034146772508</v>
      </c>
      <c r="F39" s="595">
        <v>521147.79188612039</v>
      </c>
      <c r="G39" s="341">
        <v>105426.33</v>
      </c>
      <c r="H39" s="428">
        <v>655649.68000000005</v>
      </c>
      <c r="I39" s="389">
        <f>$C39*Allocations!$B$16</f>
        <v>507421.19226631301</v>
      </c>
      <c r="J39" s="385">
        <f t="shared" si="6"/>
        <v>2288008.7175650075</v>
      </c>
      <c r="K39" s="168">
        <f t="shared" si="7"/>
        <v>572002.18000000005</v>
      </c>
      <c r="L39" s="810">
        <v>39778.79</v>
      </c>
      <c r="M39" s="426">
        <f t="shared" si="8"/>
        <v>547199.98226631305</v>
      </c>
      <c r="N39" s="303">
        <f t="shared" si="13"/>
        <v>0</v>
      </c>
      <c r="O39" s="341">
        <f t="shared" si="14"/>
        <v>0</v>
      </c>
      <c r="P39" s="342"/>
      <c r="Q39" s="343"/>
      <c r="R39" s="343"/>
      <c r="S39" s="344"/>
      <c r="T39" s="188">
        <f>'Project Final Cost Tracking'!C38</f>
        <v>0</v>
      </c>
      <c r="U39" s="346">
        <f t="shared" si="9"/>
        <v>547199.98226631305</v>
      </c>
      <c r="V39" s="345">
        <f t="shared" si="15"/>
        <v>0.95663967970596375</v>
      </c>
      <c r="W39" s="346">
        <f t="shared" si="10"/>
        <v>2830595.3474647216</v>
      </c>
      <c r="X39" s="347">
        <f t="shared" si="16"/>
        <v>0</v>
      </c>
      <c r="Y39" s="303">
        <f t="shared" si="11"/>
        <v>655649.68000000005</v>
      </c>
      <c r="Z39" s="348">
        <f t="shared" si="12"/>
        <v>1.1587227481966474E-2</v>
      </c>
      <c r="AA39" s="341">
        <f t="shared" si="17"/>
        <v>9340.7731092257472</v>
      </c>
      <c r="AB39" s="231">
        <f>ROUND($C39*Allocations!$B$16,2)</f>
        <v>507421.19</v>
      </c>
      <c r="AC39" s="240">
        <f>$C39*Allocations!$B$24</f>
        <v>0</v>
      </c>
      <c r="AD39" s="244">
        <f t="shared" si="18"/>
        <v>556540.75</v>
      </c>
      <c r="AE39" s="162"/>
      <c r="AF39" s="159"/>
      <c r="AG39" s="174"/>
      <c r="AH39" s="157"/>
      <c r="AI39" s="156"/>
      <c r="AJ39" s="157"/>
      <c r="AK39" s="174"/>
      <c r="AL39" s="157"/>
      <c r="AM39" s="156"/>
      <c r="AN39" s="157"/>
      <c r="AO39" s="156"/>
      <c r="AP39" s="157"/>
      <c r="AQ39" s="156"/>
      <c r="AR39" s="157"/>
      <c r="AS39" s="156"/>
      <c r="AT39" s="157"/>
      <c r="AU39" s="156"/>
      <c r="AV39" s="157"/>
      <c r="AW39" s="158"/>
      <c r="AX39" s="159"/>
      <c r="AY39" s="156"/>
      <c r="AZ39" s="157"/>
      <c r="BA39" s="160"/>
      <c r="BB39" s="161"/>
      <c r="BC39" s="180"/>
      <c r="BD39" s="176"/>
    </row>
    <row r="40" spans="1:56" s="30" customFormat="1" ht="12.75">
      <c r="A40" s="97" t="s">
        <v>37</v>
      </c>
      <c r="B40" s="47">
        <v>36</v>
      </c>
      <c r="C40" s="245">
        <v>8.1007724884454083E-3</v>
      </c>
      <c r="D40" s="237">
        <v>452970.18855895643</v>
      </c>
      <c r="E40" s="238">
        <v>93369.011747463199</v>
      </c>
      <c r="F40" s="597">
        <v>473535.32409129554</v>
      </c>
      <c r="G40" s="238">
        <v>95794.5</v>
      </c>
      <c r="H40" s="427">
        <v>455694.3</v>
      </c>
      <c r="I40" s="388">
        <f>$C40*Allocations!$B$16</f>
        <v>466179.45590275928</v>
      </c>
      <c r="J40" s="235">
        <f t="shared" si="6"/>
        <v>2037542.7803004745</v>
      </c>
      <c r="K40" s="165">
        <f t="shared" si="7"/>
        <v>509385.7</v>
      </c>
      <c r="L40" s="809">
        <v>-375083.39</v>
      </c>
      <c r="M40" s="425">
        <f t="shared" si="8"/>
        <v>91096.065902759263</v>
      </c>
      <c r="N40" s="237">
        <f t="shared" si="13"/>
        <v>913165.05</v>
      </c>
      <c r="O40" s="238">
        <f t="shared" si="14"/>
        <v>913165.05</v>
      </c>
      <c r="P40" s="317"/>
      <c r="Q40" s="318"/>
      <c r="R40" s="318"/>
      <c r="S40" s="319"/>
      <c r="T40" s="328">
        <f>'Project Final Cost Tracking'!C39</f>
        <v>138063.04999999993</v>
      </c>
      <c r="U40" s="339">
        <f t="shared" si="9"/>
        <v>-960132.03409724066</v>
      </c>
      <c r="V40" s="338">
        <f t="shared" si="15"/>
        <v>-1.8848821906410813</v>
      </c>
      <c r="W40" s="339">
        <f t="shared" si="10"/>
        <v>1137675.5174651761</v>
      </c>
      <c r="X40" s="340">
        <f t="shared" si="16"/>
        <v>0</v>
      </c>
      <c r="Y40" s="237">
        <f t="shared" si="11"/>
        <v>455694.3</v>
      </c>
      <c r="Z40" s="253">
        <f t="shared" si="12"/>
        <v>8.0534371897130717E-3</v>
      </c>
      <c r="AA40" s="238">
        <f t="shared" si="17"/>
        <v>6492.0905070333447</v>
      </c>
      <c r="AB40" s="236">
        <f>ROUND($C40*Allocations!$B$16,2)</f>
        <v>466179.46</v>
      </c>
      <c r="AC40" s="239">
        <f>$C40*Allocations!$B$24</f>
        <v>0</v>
      </c>
      <c r="AD40" s="242">
        <f t="shared" si="18"/>
        <v>-953639.94</v>
      </c>
      <c r="AE40" s="153"/>
      <c r="AF40" s="141"/>
      <c r="AG40" s="151"/>
      <c r="AH40" s="146"/>
      <c r="AI40" s="145"/>
      <c r="AJ40" s="146"/>
      <c r="AK40" s="151"/>
      <c r="AL40" s="146"/>
      <c r="AM40" s="145"/>
      <c r="AN40" s="146"/>
      <c r="AO40" s="145"/>
      <c r="AP40" s="146"/>
      <c r="AQ40" s="145"/>
      <c r="AR40" s="146"/>
      <c r="AS40" s="145"/>
      <c r="AT40" s="146"/>
      <c r="AU40" s="145"/>
      <c r="AV40" s="146"/>
      <c r="AW40" s="148"/>
      <c r="AX40" s="141"/>
      <c r="AY40" s="145"/>
      <c r="AZ40" s="146"/>
      <c r="BA40" s="149">
        <f>Fremont!C6</f>
        <v>913165.05</v>
      </c>
      <c r="BB40" s="150">
        <f>Fremont!D6</f>
        <v>913165.05</v>
      </c>
      <c r="BC40" s="179"/>
      <c r="BD40" s="176"/>
    </row>
    <row r="41" spans="1:56" s="30" customFormat="1" ht="12.75">
      <c r="A41" s="97" t="s">
        <v>38</v>
      </c>
      <c r="B41" s="47">
        <v>37</v>
      </c>
      <c r="C41" s="245">
        <v>7.1004817638396301E-3</v>
      </c>
      <c r="D41" s="237">
        <v>307440.7128213325</v>
      </c>
      <c r="E41" s="238">
        <v>63371.577759641659</v>
      </c>
      <c r="F41" s="597">
        <v>315846.11947269097</v>
      </c>
      <c r="G41" s="238">
        <v>63894.54</v>
      </c>
      <c r="H41" s="427">
        <v>413695.03</v>
      </c>
      <c r="I41" s="388">
        <f>$C41*Allocations!$B$16</f>
        <v>408615.19441949576</v>
      </c>
      <c r="J41" s="235">
        <f t="shared" si="6"/>
        <v>1572863.1744731609</v>
      </c>
      <c r="K41" s="165">
        <f t="shared" si="7"/>
        <v>393215.79</v>
      </c>
      <c r="L41" s="809">
        <v>-872875.74</v>
      </c>
      <c r="M41" s="425">
        <f t="shared" si="8"/>
        <v>-464260.54558050423</v>
      </c>
      <c r="N41" s="237">
        <f t="shared" si="13"/>
        <v>427885.28</v>
      </c>
      <c r="O41" s="238">
        <f t="shared" si="14"/>
        <v>417885.28</v>
      </c>
      <c r="P41" s="317"/>
      <c r="Q41" s="318"/>
      <c r="R41" s="318"/>
      <c r="S41" s="319"/>
      <c r="T41" s="328">
        <f>'Project Final Cost Tracking'!C40</f>
        <v>0</v>
      </c>
      <c r="U41" s="339">
        <f t="shared" si="9"/>
        <v>-882145.82558050426</v>
      </c>
      <c r="V41" s="338">
        <f t="shared" si="15"/>
        <v>-2.2434140439286638</v>
      </c>
      <c r="W41" s="339">
        <f t="shared" si="10"/>
        <v>956622.54930722667</v>
      </c>
      <c r="X41" s="340">
        <f t="shared" si="16"/>
        <v>0</v>
      </c>
      <c r="Y41" s="237">
        <f t="shared" si="11"/>
        <v>413695.03</v>
      </c>
      <c r="Z41" s="253">
        <f t="shared" si="12"/>
        <v>7.3111885309986649E-3</v>
      </c>
      <c r="AA41" s="238">
        <f t="shared" si="17"/>
        <v>5893.7440671737058</v>
      </c>
      <c r="AB41" s="236">
        <f>ROUND($C41*Allocations!$B$16,2)</f>
        <v>408615.19</v>
      </c>
      <c r="AC41" s="239">
        <f>$C41*Allocations!$B$24</f>
        <v>0</v>
      </c>
      <c r="AD41" s="242">
        <f t="shared" si="18"/>
        <v>-876252.09</v>
      </c>
      <c r="AE41" s="153"/>
      <c r="AF41" s="141"/>
      <c r="AG41" s="151"/>
      <c r="AH41" s="146"/>
      <c r="AI41" s="145"/>
      <c r="AJ41" s="146"/>
      <c r="AK41" s="151"/>
      <c r="AL41" s="146"/>
      <c r="AM41" s="145">
        <f>Greene!C6</f>
        <v>427885.28</v>
      </c>
      <c r="AN41" s="146">
        <f>Greene!D6</f>
        <v>417885.28</v>
      </c>
      <c r="AO41" s="145"/>
      <c r="AP41" s="146"/>
      <c r="AQ41" s="145"/>
      <c r="AR41" s="146"/>
      <c r="AS41" s="145"/>
      <c r="AT41" s="146"/>
      <c r="AU41" s="145"/>
      <c r="AV41" s="146"/>
      <c r="AW41" s="148"/>
      <c r="AX41" s="141"/>
      <c r="AY41" s="145"/>
      <c r="AZ41" s="146"/>
      <c r="BA41" s="149"/>
      <c r="BB41" s="150"/>
      <c r="BC41" s="179"/>
      <c r="BD41" s="176"/>
    </row>
    <row r="42" spans="1:56" s="30" customFormat="1" ht="12.75">
      <c r="A42" s="97" t="s">
        <v>39</v>
      </c>
      <c r="B42" s="47">
        <v>38</v>
      </c>
      <c r="C42" s="245">
        <v>1.3811933960615513E-2</v>
      </c>
      <c r="D42" s="237">
        <v>672166.35367926979</v>
      </c>
      <c r="E42" s="238">
        <v>138551.07854357344</v>
      </c>
      <c r="F42" s="597">
        <v>668886.48985580844</v>
      </c>
      <c r="G42" s="238">
        <v>135313.32999999999</v>
      </c>
      <c r="H42" s="427">
        <v>819578.34</v>
      </c>
      <c r="I42" s="388">
        <f>$C42*Allocations!$B$16</f>
        <v>794842.697768474</v>
      </c>
      <c r="J42" s="235">
        <f t="shared" si="6"/>
        <v>3229338.2898471258</v>
      </c>
      <c r="K42" s="165">
        <f t="shared" si="7"/>
        <v>807334.57</v>
      </c>
      <c r="L42" s="809">
        <v>1436107.98</v>
      </c>
      <c r="M42" s="425">
        <f t="shared" si="8"/>
        <v>2230950.677768474</v>
      </c>
      <c r="N42" s="237">
        <f t="shared" si="13"/>
        <v>0</v>
      </c>
      <c r="O42" s="238">
        <f t="shared" si="14"/>
        <v>0</v>
      </c>
      <c r="P42" s="317"/>
      <c r="Q42" s="318"/>
      <c r="R42" s="318"/>
      <c r="S42" s="319"/>
      <c r="T42" s="328">
        <f>'Project Final Cost Tracking'!C41</f>
        <v>0</v>
      </c>
      <c r="U42" s="339">
        <f t="shared" si="9"/>
        <v>2230950.677768474</v>
      </c>
      <c r="V42" s="338">
        <f t="shared" si="15"/>
        <v>2.7633533366079868</v>
      </c>
      <c r="W42" s="339">
        <f t="shared" si="10"/>
        <v>5807742.8177266065</v>
      </c>
      <c r="X42" s="340">
        <f t="shared" si="16"/>
        <v>0</v>
      </c>
      <c r="Y42" s="237">
        <f t="shared" si="11"/>
        <v>819578.34</v>
      </c>
      <c r="Z42" s="253">
        <f t="shared" si="12"/>
        <v>1.4484321360261261E-2</v>
      </c>
      <c r="AA42" s="238">
        <f t="shared" si="17"/>
        <v>11676.197751176933</v>
      </c>
      <c r="AB42" s="236">
        <f>ROUND($C42*Allocations!$B$16,2)</f>
        <v>794842.7</v>
      </c>
      <c r="AC42" s="239">
        <f>$C42*Allocations!$B$24</f>
        <v>0</v>
      </c>
      <c r="AD42" s="242">
        <f t="shared" si="18"/>
        <v>2242626.88</v>
      </c>
      <c r="AE42" s="153"/>
      <c r="AF42" s="141"/>
      <c r="AG42" s="151"/>
      <c r="AH42" s="146"/>
      <c r="AI42" s="145"/>
      <c r="AJ42" s="146"/>
      <c r="AK42" s="151"/>
      <c r="AL42" s="146"/>
      <c r="AM42" s="145"/>
      <c r="AN42" s="146"/>
      <c r="AO42" s="145"/>
      <c r="AP42" s="146"/>
      <c r="AQ42" s="145"/>
      <c r="AR42" s="146"/>
      <c r="AS42" s="145"/>
      <c r="AT42" s="146"/>
      <c r="AU42" s="145"/>
      <c r="AV42" s="146"/>
      <c r="AW42" s="148"/>
      <c r="AX42" s="141"/>
      <c r="AY42" s="145"/>
      <c r="AZ42" s="146"/>
      <c r="BA42" s="149"/>
      <c r="BB42" s="150"/>
      <c r="BC42" s="179"/>
      <c r="BD42" s="176"/>
    </row>
    <row r="43" spans="1:56" s="30" customFormat="1" ht="12.75">
      <c r="A43" s="97" t="s">
        <v>40</v>
      </c>
      <c r="B43" s="47">
        <v>39</v>
      </c>
      <c r="C43" s="245">
        <v>1.5714001889012671E-2</v>
      </c>
      <c r="D43" s="237">
        <v>819999.46484560054</v>
      </c>
      <c r="E43" s="238">
        <v>169023.35208781052</v>
      </c>
      <c r="F43" s="597">
        <v>899904.06390541245</v>
      </c>
      <c r="G43" s="238">
        <v>182047.35999999999</v>
      </c>
      <c r="H43" s="427">
        <v>917426.95</v>
      </c>
      <c r="I43" s="388">
        <f>$C43*Allocations!$B$16</f>
        <v>904302.01084201527</v>
      </c>
      <c r="J43" s="235">
        <f t="shared" si="6"/>
        <v>3892703.2016808381</v>
      </c>
      <c r="K43" s="165">
        <f t="shared" si="7"/>
        <v>973175.8</v>
      </c>
      <c r="L43" s="809">
        <v>2311585.27</v>
      </c>
      <c r="M43" s="425">
        <f t="shared" si="8"/>
        <v>3215887.2808420155</v>
      </c>
      <c r="N43" s="237">
        <f t="shared" si="13"/>
        <v>0</v>
      </c>
      <c r="O43" s="238">
        <f t="shared" si="14"/>
        <v>0</v>
      </c>
      <c r="P43" s="317"/>
      <c r="Q43" s="318"/>
      <c r="R43" s="318"/>
      <c r="S43" s="319"/>
      <c r="T43" s="328">
        <f>'Project Final Cost Tracking'!C42</f>
        <v>0</v>
      </c>
      <c r="U43" s="339">
        <f t="shared" si="9"/>
        <v>3215887.2808420155</v>
      </c>
      <c r="V43" s="338">
        <f t="shared" si="15"/>
        <v>3.3045286173803494</v>
      </c>
      <c r="W43" s="339">
        <f t="shared" si="10"/>
        <v>7285246.3296310846</v>
      </c>
      <c r="X43" s="340">
        <f t="shared" si="16"/>
        <v>0</v>
      </c>
      <c r="Y43" s="237">
        <f t="shared" si="11"/>
        <v>917426.95</v>
      </c>
      <c r="Z43" s="253">
        <f t="shared" si="12"/>
        <v>1.6213589500625823E-2</v>
      </c>
      <c r="AA43" s="238">
        <f t="shared" si="17"/>
        <v>13070.206919400911</v>
      </c>
      <c r="AB43" s="236">
        <f>ROUND($C43*Allocations!$B$16,2)</f>
        <v>904302.01</v>
      </c>
      <c r="AC43" s="239">
        <f>$C43*Allocations!$B$24</f>
        <v>0</v>
      </c>
      <c r="AD43" s="242">
        <f t="shared" si="18"/>
        <v>3228957.49</v>
      </c>
      <c r="AE43" s="153"/>
      <c r="AF43" s="141"/>
      <c r="AG43" s="151"/>
      <c r="AH43" s="146"/>
      <c r="AI43" s="145"/>
      <c r="AJ43" s="146"/>
      <c r="AK43" s="151"/>
      <c r="AL43" s="146"/>
      <c r="AM43" s="145"/>
      <c r="AN43" s="146"/>
      <c r="AO43" s="145"/>
      <c r="AP43" s="146"/>
      <c r="AQ43" s="145"/>
      <c r="AR43" s="146"/>
      <c r="AS43" s="145"/>
      <c r="AT43" s="146"/>
      <c r="AU43" s="145"/>
      <c r="AV43" s="146"/>
      <c r="AW43" s="148"/>
      <c r="AX43" s="141"/>
      <c r="AY43" s="145"/>
      <c r="AZ43" s="146"/>
      <c r="BA43" s="149"/>
      <c r="BB43" s="150"/>
      <c r="BC43" s="179"/>
      <c r="BD43" s="176"/>
    </row>
    <row r="44" spans="1:56" s="30" customFormat="1" ht="12.75">
      <c r="A44" s="98" t="s">
        <v>41</v>
      </c>
      <c r="B44" s="46">
        <v>40</v>
      </c>
      <c r="C44" s="246">
        <v>9.7820521161538793E-3</v>
      </c>
      <c r="D44" s="303">
        <v>447358.72974327684</v>
      </c>
      <c r="E44" s="341">
        <v>92212.343213164277</v>
      </c>
      <c r="F44" s="595">
        <v>530767.58014972706</v>
      </c>
      <c r="G44" s="341">
        <v>107372.37</v>
      </c>
      <c r="H44" s="428">
        <v>549835.93000000005</v>
      </c>
      <c r="I44" s="389">
        <f>$C44*Allocations!$B$16</f>
        <v>562932.94739798096</v>
      </c>
      <c r="J44" s="385">
        <f t="shared" si="6"/>
        <v>2290479.900504149</v>
      </c>
      <c r="K44" s="168">
        <f t="shared" si="7"/>
        <v>572619.98</v>
      </c>
      <c r="L44" s="810">
        <v>865944.16</v>
      </c>
      <c r="M44" s="426">
        <f t="shared" si="8"/>
        <v>1428877.107397981</v>
      </c>
      <c r="N44" s="303">
        <f t="shared" si="13"/>
        <v>0</v>
      </c>
      <c r="O44" s="341">
        <f t="shared" si="14"/>
        <v>0</v>
      </c>
      <c r="P44" s="342"/>
      <c r="Q44" s="343"/>
      <c r="R44" s="343"/>
      <c r="S44" s="344"/>
      <c r="T44" s="188">
        <f>'Project Final Cost Tracking'!C43</f>
        <v>22918.799999999988</v>
      </c>
      <c r="U44" s="346">
        <f t="shared" si="9"/>
        <v>1405958.3073979809</v>
      </c>
      <c r="V44" s="345">
        <f t="shared" si="15"/>
        <v>2.4553078071044272</v>
      </c>
      <c r="W44" s="346">
        <f t="shared" si="10"/>
        <v>3939156.5706888949</v>
      </c>
      <c r="X44" s="347">
        <f t="shared" si="16"/>
        <v>0</v>
      </c>
      <c r="Y44" s="303">
        <f t="shared" si="11"/>
        <v>549835.93000000005</v>
      </c>
      <c r="Z44" s="348">
        <f t="shared" si="12"/>
        <v>9.7171922644247975E-3</v>
      </c>
      <c r="AA44" s="341">
        <f t="shared" si="17"/>
        <v>7833.2878457747893</v>
      </c>
      <c r="AB44" s="231">
        <f>ROUND($C44*Allocations!$B$16,2)</f>
        <v>562932.94999999995</v>
      </c>
      <c r="AC44" s="240">
        <f>$C44*Allocations!$B$24</f>
        <v>0</v>
      </c>
      <c r="AD44" s="244">
        <f t="shared" si="18"/>
        <v>1413791.6</v>
      </c>
      <c r="AE44" s="162"/>
      <c r="AF44" s="159"/>
      <c r="AG44" s="174"/>
      <c r="AH44" s="157"/>
      <c r="AI44" s="156"/>
      <c r="AJ44" s="157"/>
      <c r="AK44" s="174"/>
      <c r="AL44" s="157"/>
      <c r="AM44" s="156"/>
      <c r="AN44" s="157"/>
      <c r="AO44" s="156"/>
      <c r="AP44" s="157"/>
      <c r="AQ44" s="156"/>
      <c r="AR44" s="157"/>
      <c r="AS44" s="156"/>
      <c r="AT44" s="157"/>
      <c r="AU44" s="156"/>
      <c r="AV44" s="157"/>
      <c r="AW44" s="158"/>
      <c r="AX44" s="159"/>
      <c r="AY44" s="156"/>
      <c r="AZ44" s="157"/>
      <c r="BA44" s="160"/>
      <c r="BB44" s="161"/>
      <c r="BC44" s="180"/>
      <c r="BD44" s="176"/>
    </row>
    <row r="45" spans="1:56" s="30" customFormat="1" ht="12.75">
      <c r="A45" s="97" t="s">
        <v>42</v>
      </c>
      <c r="B45" s="47">
        <v>41</v>
      </c>
      <c r="C45" s="245">
        <v>6.4465254565432241E-3</v>
      </c>
      <c r="D45" s="237">
        <v>419760.61870154005</v>
      </c>
      <c r="E45" s="238">
        <v>86523.650184023936</v>
      </c>
      <c r="F45" s="597">
        <v>402833.52235666051</v>
      </c>
      <c r="G45" s="238">
        <v>81491.77</v>
      </c>
      <c r="H45" s="427">
        <v>390522.29</v>
      </c>
      <c r="I45" s="388">
        <f>$C45*Allocations!$B$16</f>
        <v>370981.62355271034</v>
      </c>
      <c r="J45" s="235">
        <f t="shared" si="6"/>
        <v>1752113.4747949347</v>
      </c>
      <c r="K45" s="165">
        <f t="shared" si="7"/>
        <v>438028.37</v>
      </c>
      <c r="L45" s="809">
        <v>-747844.09</v>
      </c>
      <c r="M45" s="425">
        <f t="shared" si="8"/>
        <v>-376862.46644728963</v>
      </c>
      <c r="N45" s="237">
        <f t="shared" si="13"/>
        <v>1327525.68</v>
      </c>
      <c r="O45" s="238">
        <f t="shared" si="14"/>
        <v>1327525.68</v>
      </c>
      <c r="P45" s="317"/>
      <c r="Q45" s="318"/>
      <c r="R45" s="318"/>
      <c r="S45" s="319"/>
      <c r="T45" s="328">
        <f>'Project Final Cost Tracking'!C44</f>
        <v>0</v>
      </c>
      <c r="U45" s="339">
        <f t="shared" si="9"/>
        <v>-1704388.1464472895</v>
      </c>
      <c r="V45" s="338">
        <f t="shared" si="15"/>
        <v>-3.8910451084419249</v>
      </c>
      <c r="W45" s="339">
        <f t="shared" si="10"/>
        <v>-34970.840460092993</v>
      </c>
      <c r="X45" s="340">
        <f t="shared" si="16"/>
        <v>0</v>
      </c>
      <c r="Y45" s="237">
        <f t="shared" si="11"/>
        <v>390522.29</v>
      </c>
      <c r="Z45" s="253">
        <f t="shared" si="12"/>
        <v>6.9016591467084684E-3</v>
      </c>
      <c r="AA45" s="238">
        <f t="shared" si="17"/>
        <v>5563.6115081841544</v>
      </c>
      <c r="AB45" s="236">
        <f>ROUND($C45*Allocations!$B$16,2)</f>
        <v>370981.62</v>
      </c>
      <c r="AC45" s="239">
        <f>$C45*Allocations!$B$24</f>
        <v>0</v>
      </c>
      <c r="AD45" s="242">
        <f t="shared" si="18"/>
        <v>-1698824.54</v>
      </c>
      <c r="AE45" s="153"/>
      <c r="AF45" s="141"/>
      <c r="AG45" s="151"/>
      <c r="AH45" s="146"/>
      <c r="AI45" s="145">
        <f>Hancock!C9+Hancock!C10+Hancock!C11</f>
        <v>878326.92999999993</v>
      </c>
      <c r="AJ45" s="146">
        <f>Hancock!D9+Hancock!D10+Hancock!D11</f>
        <v>878326.92999999993</v>
      </c>
      <c r="AK45" s="151">
        <f>Hancock!C12</f>
        <v>449198.75</v>
      </c>
      <c r="AL45" s="146">
        <f>Hancock!D12</f>
        <v>449198.75</v>
      </c>
      <c r="AM45" s="145"/>
      <c r="AN45" s="146"/>
      <c r="AO45" s="145"/>
      <c r="AP45" s="146"/>
      <c r="AQ45" s="145"/>
      <c r="AR45" s="146"/>
      <c r="AS45" s="145"/>
      <c r="AT45" s="146"/>
      <c r="AU45" s="145"/>
      <c r="AV45" s="146"/>
      <c r="AW45" s="148"/>
      <c r="AX45" s="141"/>
      <c r="AY45" s="145"/>
      <c r="AZ45" s="146"/>
      <c r="BA45" s="149"/>
      <c r="BB45" s="150"/>
      <c r="BC45" s="179"/>
      <c r="BD45" s="176"/>
    </row>
    <row r="46" spans="1:56" s="30" customFormat="1" ht="12.75">
      <c r="A46" s="97" t="s">
        <v>43</v>
      </c>
      <c r="B46" s="47">
        <v>42</v>
      </c>
      <c r="C46" s="245">
        <v>1.3407525559657345E-2</v>
      </c>
      <c r="D46" s="237">
        <v>636670.15664594201</v>
      </c>
      <c r="E46" s="238">
        <v>131234.38326978791</v>
      </c>
      <c r="F46" s="597">
        <v>618911.89295479434</v>
      </c>
      <c r="G46" s="238">
        <v>125203.65</v>
      </c>
      <c r="H46" s="427">
        <v>626128.30000000005</v>
      </c>
      <c r="I46" s="388">
        <f>$C46*Allocations!$B$16</f>
        <v>771569.99277767341</v>
      </c>
      <c r="J46" s="235">
        <f t="shared" si="6"/>
        <v>2909718.3756481977</v>
      </c>
      <c r="K46" s="165">
        <f t="shared" si="7"/>
        <v>727429.59</v>
      </c>
      <c r="L46" s="809">
        <v>709626.46</v>
      </c>
      <c r="M46" s="425">
        <f t="shared" si="8"/>
        <v>1481196.4527776735</v>
      </c>
      <c r="N46" s="237">
        <f t="shared" si="13"/>
        <v>0</v>
      </c>
      <c r="O46" s="238">
        <f t="shared" si="14"/>
        <v>0</v>
      </c>
      <c r="P46" s="317"/>
      <c r="Q46" s="318"/>
      <c r="R46" s="318"/>
      <c r="S46" s="319"/>
      <c r="T46" s="328">
        <f>'Project Final Cost Tracking'!C45</f>
        <v>0</v>
      </c>
      <c r="U46" s="339">
        <f t="shared" si="9"/>
        <v>1481196.4527776735</v>
      </c>
      <c r="V46" s="338">
        <f t="shared" si="15"/>
        <v>2.036205940945671</v>
      </c>
      <c r="W46" s="339">
        <f t="shared" si="10"/>
        <v>4953261.4202772044</v>
      </c>
      <c r="X46" s="340">
        <f t="shared" si="16"/>
        <v>0</v>
      </c>
      <c r="Y46" s="237">
        <f t="shared" si="11"/>
        <v>626128.30000000005</v>
      </c>
      <c r="Z46" s="253">
        <f t="shared" si="12"/>
        <v>1.1065499254109219E-2</v>
      </c>
      <c r="AA46" s="238">
        <f t="shared" si="17"/>
        <v>8920.194070048552</v>
      </c>
      <c r="AB46" s="236">
        <f>ROUND($C46*Allocations!$B$16,2)</f>
        <v>771569.99</v>
      </c>
      <c r="AC46" s="239">
        <f>$C46*Allocations!$B$24</f>
        <v>0</v>
      </c>
      <c r="AD46" s="242">
        <f t="shared" si="18"/>
        <v>1490116.64</v>
      </c>
      <c r="AE46" s="153"/>
      <c r="AF46" s="141"/>
      <c r="AG46" s="151"/>
      <c r="AH46" s="146"/>
      <c r="AI46" s="145"/>
      <c r="AJ46" s="146"/>
      <c r="AK46" s="151"/>
      <c r="AL46" s="146"/>
      <c r="AM46" s="145"/>
      <c r="AN46" s="146"/>
      <c r="AO46" s="145"/>
      <c r="AP46" s="146"/>
      <c r="AQ46" s="145"/>
      <c r="AR46" s="146"/>
      <c r="AS46" s="145"/>
      <c r="AT46" s="146"/>
      <c r="AU46" s="145"/>
      <c r="AV46" s="146"/>
      <c r="AW46" s="148"/>
      <c r="AX46" s="141"/>
      <c r="AY46" s="145"/>
      <c r="AZ46" s="146"/>
      <c r="BA46" s="149"/>
      <c r="BB46" s="150"/>
      <c r="BC46" s="179"/>
      <c r="BD46" s="176"/>
    </row>
    <row r="47" spans="1:56" s="30" customFormat="1" ht="12.75">
      <c r="A47" s="97" t="s">
        <v>44</v>
      </c>
      <c r="B47" s="47">
        <v>43</v>
      </c>
      <c r="C47" s="245">
        <v>8.1248389597482085E-3</v>
      </c>
      <c r="D47" s="237">
        <v>594028.51738681202</v>
      </c>
      <c r="E47" s="238">
        <v>122444.82533092459</v>
      </c>
      <c r="F47" s="597">
        <v>559830.59936518501</v>
      </c>
      <c r="G47" s="238">
        <v>113251.72</v>
      </c>
      <c r="H47" s="427">
        <v>493093.74</v>
      </c>
      <c r="I47" s="388">
        <f>$C47*Allocations!$B$16</f>
        <v>467564.42190611776</v>
      </c>
      <c r="J47" s="235">
        <f t="shared" si="6"/>
        <v>2350213.8239890393</v>
      </c>
      <c r="K47" s="165">
        <f t="shared" si="7"/>
        <v>587553.46</v>
      </c>
      <c r="L47" s="809">
        <v>798790.46</v>
      </c>
      <c r="M47" s="425">
        <f t="shared" si="8"/>
        <v>1266354.8819061178</v>
      </c>
      <c r="N47" s="237">
        <f t="shared" si="13"/>
        <v>0</v>
      </c>
      <c r="O47" s="238">
        <f t="shared" si="14"/>
        <v>0</v>
      </c>
      <c r="P47" s="317"/>
      <c r="Q47" s="318"/>
      <c r="R47" s="318"/>
      <c r="S47" s="319"/>
      <c r="T47" s="328">
        <f>'Project Final Cost Tracking'!C46</f>
        <v>28191.799999999988</v>
      </c>
      <c r="U47" s="339">
        <f t="shared" si="9"/>
        <v>1238163.0819061177</v>
      </c>
      <c r="V47" s="338">
        <f t="shared" si="15"/>
        <v>2.1073198716353705</v>
      </c>
      <c r="W47" s="339">
        <f t="shared" si="10"/>
        <v>3342202.9804836474</v>
      </c>
      <c r="X47" s="340">
        <f t="shared" si="16"/>
        <v>0</v>
      </c>
      <c r="Y47" s="237">
        <f t="shared" si="11"/>
        <v>493093.74</v>
      </c>
      <c r="Z47" s="253">
        <f t="shared" si="12"/>
        <v>8.7143935391131907E-3</v>
      </c>
      <c r="AA47" s="238">
        <f t="shared" si="17"/>
        <v>7024.9050482561852</v>
      </c>
      <c r="AB47" s="236">
        <f>ROUND($C47*Allocations!$B$16,2)</f>
        <v>467564.42</v>
      </c>
      <c r="AC47" s="239">
        <f>$C47*Allocations!$B$24</f>
        <v>0</v>
      </c>
      <c r="AD47" s="242">
        <f t="shared" si="18"/>
        <v>1245187.99</v>
      </c>
      <c r="AE47" s="153"/>
      <c r="AF47" s="141"/>
      <c r="AG47" s="151"/>
      <c r="AH47" s="146"/>
      <c r="AI47" s="145"/>
      <c r="AJ47" s="146"/>
      <c r="AK47" s="151"/>
      <c r="AL47" s="146"/>
      <c r="AM47" s="145"/>
      <c r="AN47" s="146"/>
      <c r="AO47" s="145"/>
      <c r="AP47" s="146"/>
      <c r="AQ47" s="145"/>
      <c r="AR47" s="146"/>
      <c r="AS47" s="145"/>
      <c r="AT47" s="146"/>
      <c r="AU47" s="145"/>
      <c r="AV47" s="146"/>
      <c r="AW47" s="148"/>
      <c r="AX47" s="141"/>
      <c r="AY47" s="145"/>
      <c r="AZ47" s="146"/>
      <c r="BA47" s="149"/>
      <c r="BB47" s="150"/>
      <c r="BC47" s="179"/>
      <c r="BD47" s="176"/>
    </row>
    <row r="48" spans="1:56" s="30" customFormat="1" ht="12" customHeight="1">
      <c r="A48" s="97" t="s">
        <v>45</v>
      </c>
      <c r="B48" s="47">
        <v>44</v>
      </c>
      <c r="C48" s="245">
        <v>1.2469172276961572E-2</v>
      </c>
      <c r="D48" s="237">
        <v>485778.10030984762</v>
      </c>
      <c r="E48" s="238">
        <v>100131.58106228689</v>
      </c>
      <c r="F48" s="597">
        <v>593682.78873142437</v>
      </c>
      <c r="G48" s="238">
        <v>120099.9</v>
      </c>
      <c r="H48" s="427">
        <v>610252.97</v>
      </c>
      <c r="I48" s="388">
        <f>$C48*Allocations!$B$16</f>
        <v>717570.07815278671</v>
      </c>
      <c r="J48" s="235">
        <f t="shared" si="6"/>
        <v>2627515.4182563452</v>
      </c>
      <c r="K48" s="165">
        <f t="shared" si="7"/>
        <v>656878.85</v>
      </c>
      <c r="L48" s="809">
        <v>39798.53</v>
      </c>
      <c r="M48" s="425">
        <f t="shared" si="8"/>
        <v>757368.60815278674</v>
      </c>
      <c r="N48" s="237">
        <f t="shared" si="13"/>
        <v>0</v>
      </c>
      <c r="O48" s="238">
        <f t="shared" si="14"/>
        <v>0</v>
      </c>
      <c r="P48" s="317"/>
      <c r="Q48" s="318"/>
      <c r="R48" s="318"/>
      <c r="S48" s="319"/>
      <c r="T48" s="328">
        <f>'Project Final Cost Tracking'!C47</f>
        <v>0</v>
      </c>
      <c r="U48" s="339">
        <f t="shared" si="9"/>
        <v>757368.60815278674</v>
      </c>
      <c r="V48" s="338">
        <f t="shared" si="15"/>
        <v>1.1529806571680405</v>
      </c>
      <c r="W48" s="339">
        <f t="shared" si="10"/>
        <v>3986433.959840327</v>
      </c>
      <c r="X48" s="340">
        <f t="shared" si="16"/>
        <v>0</v>
      </c>
      <c r="Y48" s="237">
        <f t="shared" si="11"/>
        <v>610252.97</v>
      </c>
      <c r="Z48" s="253">
        <f t="shared" si="12"/>
        <v>1.0784936225295895E-2</v>
      </c>
      <c r="AA48" s="238">
        <f t="shared" si="17"/>
        <v>8694.0247297934256</v>
      </c>
      <c r="AB48" s="236">
        <f>ROUND($C48*Allocations!$B$16,2)</f>
        <v>717570.08</v>
      </c>
      <c r="AC48" s="239">
        <f>$C48*Allocations!$B$24</f>
        <v>0</v>
      </c>
      <c r="AD48" s="242">
        <f t="shared" si="18"/>
        <v>766062.63</v>
      </c>
      <c r="AE48" s="153"/>
      <c r="AF48" s="141"/>
      <c r="AG48" s="151"/>
      <c r="AH48" s="146"/>
      <c r="AI48" s="145"/>
      <c r="AJ48" s="146"/>
      <c r="AK48" s="151"/>
      <c r="AL48" s="146"/>
      <c r="AM48" s="145"/>
      <c r="AN48" s="146"/>
      <c r="AO48" s="145"/>
      <c r="AP48" s="146"/>
      <c r="AQ48" s="145"/>
      <c r="AR48" s="146"/>
      <c r="AS48" s="145"/>
      <c r="AT48" s="146"/>
      <c r="AU48" s="145"/>
      <c r="AV48" s="146"/>
      <c r="AW48" s="148"/>
      <c r="AX48" s="141"/>
      <c r="AY48" s="145"/>
      <c r="AZ48" s="146"/>
      <c r="BA48" s="149"/>
      <c r="BB48" s="150"/>
      <c r="BC48" s="179"/>
      <c r="BD48" s="176"/>
    </row>
    <row r="49" spans="1:56" s="30" customFormat="1" ht="12.75">
      <c r="A49" s="98" t="s">
        <v>46</v>
      </c>
      <c r="B49" s="46">
        <v>45</v>
      </c>
      <c r="C49" s="246">
        <v>8.9939022779759945E-3</v>
      </c>
      <c r="D49" s="303">
        <v>528537.48917729117</v>
      </c>
      <c r="E49" s="341">
        <v>108945.41027736127</v>
      </c>
      <c r="F49" s="595">
        <v>526696.50766063551</v>
      </c>
      <c r="G49" s="341">
        <v>106548.81</v>
      </c>
      <c r="H49" s="428">
        <v>520827.82</v>
      </c>
      <c r="I49" s="389">
        <f>$C49*Allocations!$B$16</f>
        <v>517576.87015279417</v>
      </c>
      <c r="J49" s="385">
        <f t="shared" si="6"/>
        <v>2309132.9072680823</v>
      </c>
      <c r="K49" s="168">
        <f t="shared" si="7"/>
        <v>577283.23</v>
      </c>
      <c r="L49" s="810">
        <v>1230206.1499999999</v>
      </c>
      <c r="M49" s="426">
        <f t="shared" si="8"/>
        <v>1747783.0201527942</v>
      </c>
      <c r="N49" s="303">
        <f t="shared" si="13"/>
        <v>539845.64</v>
      </c>
      <c r="O49" s="341">
        <f t="shared" si="14"/>
        <v>539845.64</v>
      </c>
      <c r="P49" s="342"/>
      <c r="Q49" s="343"/>
      <c r="R49" s="343"/>
      <c r="S49" s="344"/>
      <c r="T49" s="188">
        <f>'Project Final Cost Tracking'!C48</f>
        <v>0</v>
      </c>
      <c r="U49" s="346">
        <f t="shared" si="9"/>
        <v>1207937.3801527941</v>
      </c>
      <c r="V49" s="345">
        <f t="shared" si="15"/>
        <v>2.0924518804275576</v>
      </c>
      <c r="W49" s="346">
        <f t="shared" si="10"/>
        <v>3537033.2958403677</v>
      </c>
      <c r="X49" s="347">
        <f t="shared" si="16"/>
        <v>0</v>
      </c>
      <c r="Y49" s="303">
        <f t="shared" si="11"/>
        <v>520827.82</v>
      </c>
      <c r="Z49" s="348">
        <f t="shared" si="12"/>
        <v>9.2045350030166839E-3</v>
      </c>
      <c r="AA49" s="341">
        <f t="shared" si="17"/>
        <v>7420.0211545785669</v>
      </c>
      <c r="AB49" s="231">
        <f>ROUND($C49*Allocations!$B$16,2)</f>
        <v>517576.87</v>
      </c>
      <c r="AC49" s="240">
        <f>$C49*Allocations!$B$24</f>
        <v>0</v>
      </c>
      <c r="AD49" s="244">
        <f t="shared" si="18"/>
        <v>1215357.3999999999</v>
      </c>
      <c r="AE49" s="162"/>
      <c r="AF49" s="159"/>
      <c r="AG49" s="174">
        <f>Howard!C10</f>
        <v>539845.64</v>
      </c>
      <c r="AH49" s="157">
        <f>Howard!D10</f>
        <v>539845.64</v>
      </c>
      <c r="AI49" s="156"/>
      <c r="AJ49" s="157"/>
      <c r="AK49" s="174"/>
      <c r="AL49" s="157"/>
      <c r="AM49" s="156"/>
      <c r="AN49" s="157"/>
      <c r="AO49" s="156"/>
      <c r="AP49" s="157"/>
      <c r="AQ49" s="156"/>
      <c r="AR49" s="157"/>
      <c r="AS49" s="156"/>
      <c r="AT49" s="157"/>
      <c r="AU49" s="156"/>
      <c r="AV49" s="157"/>
      <c r="AW49" s="158"/>
      <c r="AX49" s="159"/>
      <c r="AY49" s="156"/>
      <c r="AZ49" s="157"/>
      <c r="BA49" s="160"/>
      <c r="BB49" s="161"/>
      <c r="BC49" s="180"/>
      <c r="BD49" s="176"/>
    </row>
    <row r="50" spans="1:56" s="30" customFormat="1" ht="12.75">
      <c r="A50" s="97" t="s">
        <v>47</v>
      </c>
      <c r="B50" s="47">
        <v>46</v>
      </c>
      <c r="C50" s="245">
        <v>3.3374099770835468E-3</v>
      </c>
      <c r="D50" s="237">
        <v>202323.43806274812</v>
      </c>
      <c r="E50" s="238">
        <v>41704.156128608323</v>
      </c>
      <c r="F50" s="597">
        <v>198933.14248895834</v>
      </c>
      <c r="G50" s="238">
        <v>40243.46</v>
      </c>
      <c r="H50" s="427">
        <v>194875.17</v>
      </c>
      <c r="I50" s="388">
        <f>$C50*Allocations!$B$16</f>
        <v>192059.70411592469</v>
      </c>
      <c r="J50" s="235">
        <f t="shared" si="6"/>
        <v>870139.07079623942</v>
      </c>
      <c r="K50" s="165">
        <f t="shared" si="7"/>
        <v>217534.77</v>
      </c>
      <c r="L50" s="809">
        <v>-5546.98</v>
      </c>
      <c r="M50" s="425">
        <f t="shared" si="8"/>
        <v>186512.72411592468</v>
      </c>
      <c r="N50" s="237">
        <f t="shared" si="13"/>
        <v>342738.75</v>
      </c>
      <c r="O50" s="238">
        <f t="shared" si="14"/>
        <v>342738.75</v>
      </c>
      <c r="P50" s="317"/>
      <c r="Q50" s="318"/>
      <c r="R50" s="318"/>
      <c r="S50" s="319"/>
      <c r="T50" s="328">
        <f>'Project Final Cost Tracking'!C49</f>
        <v>0</v>
      </c>
      <c r="U50" s="339">
        <f t="shared" si="9"/>
        <v>-156226.02588407532</v>
      </c>
      <c r="V50" s="338">
        <f t="shared" si="15"/>
        <v>-0.71816577131129578</v>
      </c>
      <c r="W50" s="339">
        <f t="shared" si="10"/>
        <v>708042.64263758576</v>
      </c>
      <c r="X50" s="340">
        <f t="shared" si="16"/>
        <v>0</v>
      </c>
      <c r="Y50" s="237">
        <f t="shared" si="11"/>
        <v>194875.17</v>
      </c>
      <c r="Z50" s="253">
        <f t="shared" si="12"/>
        <v>3.4440082779829749E-3</v>
      </c>
      <c r="AA50" s="238">
        <f t="shared" si="17"/>
        <v>2776.3069259666167</v>
      </c>
      <c r="AB50" s="236">
        <f>ROUND($C50*Allocations!$B$16,2)</f>
        <v>192059.7</v>
      </c>
      <c r="AC50" s="239">
        <f>$C50*Allocations!$B$24</f>
        <v>0</v>
      </c>
      <c r="AD50" s="242">
        <f t="shared" si="18"/>
        <v>-153449.72</v>
      </c>
      <c r="AE50" s="153"/>
      <c r="AF50" s="141"/>
      <c r="AG50" s="151"/>
      <c r="AH50" s="146"/>
      <c r="AI50" s="145"/>
      <c r="AJ50" s="146"/>
      <c r="AK50" s="151"/>
      <c r="AL50" s="146"/>
      <c r="AM50" s="145">
        <f>Humboldt!C8+Humboldt!C9</f>
        <v>342738.75</v>
      </c>
      <c r="AN50" s="146">
        <f>Humboldt!D8+Humboldt!D9</f>
        <v>342738.75</v>
      </c>
      <c r="AO50" s="145"/>
      <c r="AP50" s="146"/>
      <c r="AQ50" s="145"/>
      <c r="AR50" s="146"/>
      <c r="AS50" s="145"/>
      <c r="AT50" s="146"/>
      <c r="AU50" s="145"/>
      <c r="AV50" s="146"/>
      <c r="AW50" s="148"/>
      <c r="AX50" s="141"/>
      <c r="AY50" s="145"/>
      <c r="AZ50" s="146"/>
      <c r="BA50" s="149"/>
      <c r="BB50" s="150"/>
      <c r="BC50" s="179"/>
      <c r="BD50" s="176"/>
    </row>
    <row r="51" spans="1:56" s="30" customFormat="1" ht="12.75">
      <c r="A51" s="97" t="s">
        <v>48</v>
      </c>
      <c r="B51" s="47">
        <v>47</v>
      </c>
      <c r="C51" s="245">
        <v>6.7979505352714397E-3</v>
      </c>
      <c r="D51" s="237">
        <v>381774.08955724636</v>
      </c>
      <c r="E51" s="238">
        <v>78693.632281074737</v>
      </c>
      <c r="F51" s="597">
        <v>371360.32929845841</v>
      </c>
      <c r="G51" s="238">
        <v>75124.86</v>
      </c>
      <c r="H51" s="427">
        <v>396614.04</v>
      </c>
      <c r="I51" s="388">
        <f>$C51*Allocations!$B$16</f>
        <v>391205.26916499977</v>
      </c>
      <c r="J51" s="235">
        <f t="shared" si="6"/>
        <v>1694772.2203017792</v>
      </c>
      <c r="K51" s="165">
        <f t="shared" si="7"/>
        <v>423693.06</v>
      </c>
      <c r="L51" s="809">
        <v>775147.49</v>
      </c>
      <c r="M51" s="425">
        <f t="shared" si="8"/>
        <v>1166352.7591649997</v>
      </c>
      <c r="N51" s="237">
        <f t="shared" si="13"/>
        <v>0</v>
      </c>
      <c r="O51" s="238">
        <f t="shared" si="14"/>
        <v>0</v>
      </c>
      <c r="P51" s="317"/>
      <c r="Q51" s="318"/>
      <c r="R51" s="318"/>
      <c r="S51" s="319"/>
      <c r="T51" s="328">
        <f>'Project Final Cost Tracking'!C50</f>
        <v>0</v>
      </c>
      <c r="U51" s="339">
        <f t="shared" si="9"/>
        <v>1166352.7591649997</v>
      </c>
      <c r="V51" s="338">
        <f t="shared" si="15"/>
        <v>2.7528247905807088</v>
      </c>
      <c r="W51" s="339">
        <f t="shared" si="10"/>
        <v>2926776.470407499</v>
      </c>
      <c r="X51" s="340">
        <f t="shared" si="16"/>
        <v>0</v>
      </c>
      <c r="Y51" s="237">
        <f t="shared" si="11"/>
        <v>396614.04</v>
      </c>
      <c r="Z51" s="253">
        <f t="shared" si="12"/>
        <v>7.0093180004629141E-3</v>
      </c>
      <c r="AA51" s="238">
        <f t="shared" si="17"/>
        <v>5650.398181500499</v>
      </c>
      <c r="AB51" s="236">
        <f>ROUND($C51*Allocations!$B$16,2)</f>
        <v>391205.27</v>
      </c>
      <c r="AC51" s="239">
        <f>$C51*Allocations!$B$24</f>
        <v>0</v>
      </c>
      <c r="AD51" s="242">
        <f t="shared" si="18"/>
        <v>1172003.1599999999</v>
      </c>
      <c r="AE51" s="153"/>
      <c r="AF51" s="141"/>
      <c r="AG51" s="151"/>
      <c r="AH51" s="146"/>
      <c r="AI51" s="145"/>
      <c r="AJ51" s="146"/>
      <c r="AK51" s="151"/>
      <c r="AL51" s="146"/>
      <c r="AM51" s="145"/>
      <c r="AN51" s="146"/>
      <c r="AO51" s="145"/>
      <c r="AP51" s="146"/>
      <c r="AQ51" s="145"/>
      <c r="AR51" s="146"/>
      <c r="AS51" s="145"/>
      <c r="AT51" s="146"/>
      <c r="AU51" s="145"/>
      <c r="AV51" s="146"/>
      <c r="AW51" s="148"/>
      <c r="AX51" s="141"/>
      <c r="AY51" s="145"/>
      <c r="AZ51" s="146"/>
      <c r="BA51" s="149"/>
      <c r="BB51" s="150"/>
      <c r="BC51" s="179"/>
      <c r="BD51" s="176"/>
    </row>
    <row r="52" spans="1:56" s="30" customFormat="1" ht="12.75">
      <c r="A52" s="97" t="s">
        <v>49</v>
      </c>
      <c r="B52" s="47">
        <v>48</v>
      </c>
      <c r="C52" s="245">
        <v>1.4370450051860667E-2</v>
      </c>
      <c r="D52" s="237">
        <v>867063.40006270644</v>
      </c>
      <c r="E52" s="238">
        <v>178724.46097126161</v>
      </c>
      <c r="F52" s="597">
        <v>849120.95634560788</v>
      </c>
      <c r="G52" s="238">
        <v>171774.12</v>
      </c>
      <c r="H52" s="427">
        <v>850718.19</v>
      </c>
      <c r="I52" s="388">
        <f>$C52*Allocations!$B$16</f>
        <v>826983.91984340327</v>
      </c>
      <c r="J52" s="235">
        <f t="shared" si="6"/>
        <v>3744385.0472229789</v>
      </c>
      <c r="K52" s="165">
        <f t="shared" si="7"/>
        <v>936096.26</v>
      </c>
      <c r="L52" s="809">
        <v>1218126.27</v>
      </c>
      <c r="M52" s="425">
        <f t="shared" si="8"/>
        <v>2045110.1898434032</v>
      </c>
      <c r="N52" s="237">
        <f t="shared" si="13"/>
        <v>0</v>
      </c>
      <c r="O52" s="238">
        <f t="shared" si="14"/>
        <v>0</v>
      </c>
      <c r="P52" s="317"/>
      <c r="Q52" s="318"/>
      <c r="R52" s="318"/>
      <c r="S52" s="319"/>
      <c r="T52" s="328">
        <f>'Project Final Cost Tracking'!C51</f>
        <v>0</v>
      </c>
      <c r="U52" s="339">
        <f t="shared" si="9"/>
        <v>2045110.1898434032</v>
      </c>
      <c r="V52" s="338">
        <f t="shared" si="15"/>
        <v>2.1847221030916235</v>
      </c>
      <c r="W52" s="339">
        <f t="shared" si="10"/>
        <v>5766537.8291387185</v>
      </c>
      <c r="X52" s="340">
        <f t="shared" si="16"/>
        <v>0</v>
      </c>
      <c r="Y52" s="237">
        <f t="shared" si="11"/>
        <v>850718.19</v>
      </c>
      <c r="Z52" s="253">
        <f t="shared" si="12"/>
        <v>1.5034652637330311E-2</v>
      </c>
      <c r="AA52" s="238">
        <f t="shared" si="17"/>
        <v>12119.83447117857</v>
      </c>
      <c r="AB52" s="236">
        <f>ROUND($C52*Allocations!$B$16,2)</f>
        <v>826983.92</v>
      </c>
      <c r="AC52" s="239">
        <f>$C52*Allocations!$B$24</f>
        <v>0</v>
      </c>
      <c r="AD52" s="242">
        <f t="shared" si="18"/>
        <v>2057230.02</v>
      </c>
      <c r="AE52" s="153"/>
      <c r="AF52" s="141"/>
      <c r="AG52" s="151"/>
      <c r="AH52" s="146"/>
      <c r="AI52" s="145"/>
      <c r="AJ52" s="146"/>
      <c r="AK52" s="151"/>
      <c r="AL52" s="146"/>
      <c r="AM52" s="145"/>
      <c r="AN52" s="146"/>
      <c r="AO52" s="145"/>
      <c r="AP52" s="146"/>
      <c r="AQ52" s="145"/>
      <c r="AR52" s="146"/>
      <c r="AS52" s="145"/>
      <c r="AT52" s="146"/>
      <c r="AU52" s="145"/>
      <c r="AV52" s="146"/>
      <c r="AW52" s="148"/>
      <c r="AX52" s="141"/>
      <c r="AY52" s="145"/>
      <c r="AZ52" s="146"/>
      <c r="BA52" s="149"/>
      <c r="BB52" s="150"/>
      <c r="BC52" s="179"/>
      <c r="BD52" s="176"/>
    </row>
    <row r="53" spans="1:56" s="30" customFormat="1" ht="12.75">
      <c r="A53" s="97" t="s">
        <v>50</v>
      </c>
      <c r="B53" s="47">
        <v>49</v>
      </c>
      <c r="C53" s="245">
        <v>9.9149313858392756E-3</v>
      </c>
      <c r="D53" s="237">
        <v>661444.96297121781</v>
      </c>
      <c r="E53" s="238">
        <v>136341.1193006619</v>
      </c>
      <c r="F53" s="597">
        <v>658595.92028270895</v>
      </c>
      <c r="G53" s="238">
        <v>133231.59</v>
      </c>
      <c r="H53" s="427">
        <v>578495.67000000004</v>
      </c>
      <c r="I53" s="388">
        <f>$C53*Allocations!$B$16</f>
        <v>570579.82128945866</v>
      </c>
      <c r="J53" s="235">
        <f t="shared" si="6"/>
        <v>2738689.0838440475</v>
      </c>
      <c r="K53" s="165">
        <f t="shared" si="7"/>
        <v>684672.27</v>
      </c>
      <c r="L53" s="809">
        <v>-530935.56000000006</v>
      </c>
      <c r="M53" s="425">
        <f t="shared" si="8"/>
        <v>39644.261289458605</v>
      </c>
      <c r="N53" s="237">
        <f t="shared" si="13"/>
        <v>838711.73</v>
      </c>
      <c r="O53" s="238">
        <f t="shared" si="14"/>
        <v>838711.73</v>
      </c>
      <c r="P53" s="317"/>
      <c r="Q53" s="318"/>
      <c r="R53" s="318"/>
      <c r="S53" s="319"/>
      <c r="T53" s="328">
        <f>'Project Final Cost Tracking'!C52</f>
        <v>0</v>
      </c>
      <c r="U53" s="339">
        <f t="shared" si="9"/>
        <v>-799067.46871054138</v>
      </c>
      <c r="V53" s="338">
        <f t="shared" si="15"/>
        <v>-1.1670802276110019</v>
      </c>
      <c r="W53" s="339">
        <f t="shared" si="10"/>
        <v>1768541.7270920225</v>
      </c>
      <c r="X53" s="340">
        <f t="shared" si="16"/>
        <v>0</v>
      </c>
      <c r="Y53" s="237">
        <f t="shared" si="11"/>
        <v>578495.67000000004</v>
      </c>
      <c r="Z53" s="253">
        <f t="shared" si="12"/>
        <v>1.0223692819651202E-2</v>
      </c>
      <c r="AA53" s="238">
        <f t="shared" si="17"/>
        <v>8241.5914519161088</v>
      </c>
      <c r="AB53" s="236">
        <f>ROUND($C53*Allocations!$B$16,2)</f>
        <v>570579.81999999995</v>
      </c>
      <c r="AC53" s="239">
        <f>$C53*Allocations!$B$24</f>
        <v>0</v>
      </c>
      <c r="AD53" s="242">
        <f t="shared" si="18"/>
        <v>-790825.88</v>
      </c>
      <c r="AE53" s="153"/>
      <c r="AF53" s="141"/>
      <c r="AG53" s="151"/>
      <c r="AH53" s="146"/>
      <c r="AI53" s="145"/>
      <c r="AJ53" s="146"/>
      <c r="AK53" s="151"/>
      <c r="AL53" s="146"/>
      <c r="AM53" s="145"/>
      <c r="AN53" s="146"/>
      <c r="AO53" s="145"/>
      <c r="AP53" s="146"/>
      <c r="AQ53" s="145">
        <f>Jackson!C11</f>
        <v>838711.73</v>
      </c>
      <c r="AR53" s="146">
        <f>Jackson!D11</f>
        <v>838711.73</v>
      </c>
      <c r="AS53" s="145"/>
      <c r="AT53" s="146"/>
      <c r="AU53" s="145"/>
      <c r="AV53" s="146"/>
      <c r="AW53" s="148"/>
      <c r="AX53" s="141"/>
      <c r="AY53" s="145"/>
      <c r="AZ53" s="146"/>
      <c r="BA53" s="149"/>
      <c r="BB53" s="150"/>
      <c r="BC53" s="179"/>
      <c r="BD53" s="176"/>
    </row>
    <row r="54" spans="1:56" s="30" customFormat="1" ht="12.75">
      <c r="A54" s="98" t="s">
        <v>51</v>
      </c>
      <c r="B54" s="46">
        <v>50</v>
      </c>
      <c r="C54" s="246">
        <v>1.8775336018428138E-2</v>
      </c>
      <c r="D54" s="303">
        <v>1098606.3120888718</v>
      </c>
      <c r="E54" s="341">
        <v>226451.51546416242</v>
      </c>
      <c r="F54" s="595">
        <v>1089417.3969308091</v>
      </c>
      <c r="G54" s="341">
        <v>220385.23</v>
      </c>
      <c r="H54" s="428">
        <v>1067486.58</v>
      </c>
      <c r="I54" s="389">
        <f>$C54*Allocations!$B$16</f>
        <v>1080474.2315559098</v>
      </c>
      <c r="J54" s="385">
        <f t="shared" si="6"/>
        <v>4782821.2660397533</v>
      </c>
      <c r="K54" s="168">
        <f t="shared" si="7"/>
        <v>1195705.32</v>
      </c>
      <c r="L54" s="810">
        <v>334068.14</v>
      </c>
      <c r="M54" s="426">
        <f t="shared" si="8"/>
        <v>1414542.37155591</v>
      </c>
      <c r="N54" s="303">
        <f t="shared" si="13"/>
        <v>4763848.0600000005</v>
      </c>
      <c r="O54" s="341">
        <f t="shared" si="14"/>
        <v>4763848.0600000005</v>
      </c>
      <c r="P54" s="342"/>
      <c r="Q54" s="343"/>
      <c r="R54" s="343"/>
      <c r="S54" s="344"/>
      <c r="T54" s="188">
        <f>'Project Final Cost Tracking'!C53</f>
        <v>164218.33000000007</v>
      </c>
      <c r="U54" s="346">
        <f t="shared" si="9"/>
        <v>-3513524.0184440906</v>
      </c>
      <c r="V54" s="345">
        <f t="shared" si="15"/>
        <v>-2.9384531118788453</v>
      </c>
      <c r="W54" s="346">
        <f t="shared" si="10"/>
        <v>1348610.0235575032</v>
      </c>
      <c r="X54" s="347">
        <f t="shared" si="16"/>
        <v>0</v>
      </c>
      <c r="Y54" s="303">
        <f t="shared" si="11"/>
        <v>1067486.58</v>
      </c>
      <c r="Z54" s="348">
        <f t="shared" si="12"/>
        <v>1.8865577477909245E-2</v>
      </c>
      <c r="AA54" s="341">
        <f t="shared" si="17"/>
        <v>15208.045157473973</v>
      </c>
      <c r="AB54" s="231">
        <f>ROUND($C54*Allocations!$B$16,2)</f>
        <v>1080474.23</v>
      </c>
      <c r="AC54" s="240">
        <f>$C54*Allocations!$B$24</f>
        <v>0</v>
      </c>
      <c r="AD54" s="244">
        <f t="shared" si="18"/>
        <v>-3498315.97</v>
      </c>
      <c r="AE54" s="162"/>
      <c r="AF54" s="159"/>
      <c r="AG54" s="174"/>
      <c r="AH54" s="157"/>
      <c r="AI54" s="156">
        <f>Jasper!C9</f>
        <v>2233387.4700000002</v>
      </c>
      <c r="AJ54" s="157">
        <f>Jasper!D9</f>
        <v>2233387.4700000002</v>
      </c>
      <c r="AK54" s="174">
        <f>Jasper!C10+Jasper!C11</f>
        <v>2530460.59</v>
      </c>
      <c r="AL54" s="157">
        <f>Jasper!D10+Jasper!D11</f>
        <v>2530460.59</v>
      </c>
      <c r="AM54" s="156"/>
      <c r="AN54" s="157"/>
      <c r="AO54" s="156"/>
      <c r="AP54" s="157"/>
      <c r="AQ54" s="156"/>
      <c r="AR54" s="157"/>
      <c r="AS54" s="190"/>
      <c r="AT54" s="157"/>
      <c r="AU54" s="156"/>
      <c r="AV54" s="157"/>
      <c r="AW54" s="158"/>
      <c r="AX54" s="159"/>
      <c r="AY54" s="156"/>
      <c r="AZ54" s="157"/>
      <c r="BA54" s="160"/>
      <c r="BB54" s="161"/>
      <c r="BC54" s="180"/>
      <c r="BD54" s="176"/>
    </row>
    <row r="55" spans="1:56" s="30" customFormat="1" ht="12.75">
      <c r="A55" s="97" t="s">
        <v>52</v>
      </c>
      <c r="B55" s="47">
        <v>51</v>
      </c>
      <c r="C55" s="245">
        <v>8.1378099511438835E-3</v>
      </c>
      <c r="D55" s="237">
        <v>522358.51981170225</v>
      </c>
      <c r="E55" s="238">
        <v>107671.76296490067</v>
      </c>
      <c r="F55" s="597">
        <v>488258.70163926732</v>
      </c>
      <c r="G55" s="238">
        <v>98772.98</v>
      </c>
      <c r="H55" s="427">
        <v>453614.05</v>
      </c>
      <c r="I55" s="388">
        <f>$C55*Allocations!$B$16</f>
        <v>468310.87043556111</v>
      </c>
      <c r="J55" s="235">
        <f t="shared" si="6"/>
        <v>2138986.8848514315</v>
      </c>
      <c r="K55" s="165">
        <f t="shared" si="7"/>
        <v>534746.72</v>
      </c>
      <c r="L55" s="809">
        <v>1519874.36</v>
      </c>
      <c r="M55" s="425">
        <f t="shared" si="8"/>
        <v>1988185.2304355612</v>
      </c>
      <c r="N55" s="237">
        <f t="shared" si="13"/>
        <v>0</v>
      </c>
      <c r="O55" s="238">
        <f t="shared" si="14"/>
        <v>0</v>
      </c>
      <c r="P55" s="317"/>
      <c r="Q55" s="318"/>
      <c r="R55" s="318"/>
      <c r="S55" s="319"/>
      <c r="T55" s="328">
        <f>'Project Final Cost Tracking'!C54</f>
        <v>695.30000000004657</v>
      </c>
      <c r="U55" s="339">
        <f t="shared" si="9"/>
        <v>1987489.9304355611</v>
      </c>
      <c r="V55" s="338">
        <f t="shared" si="15"/>
        <v>3.7166940087740254</v>
      </c>
      <c r="W55" s="339">
        <f t="shared" si="10"/>
        <v>4094888.8473955863</v>
      </c>
      <c r="X55" s="340">
        <f t="shared" si="16"/>
        <v>0</v>
      </c>
      <c r="Y55" s="237">
        <f t="shared" si="11"/>
        <v>453614.05</v>
      </c>
      <c r="Z55" s="253">
        <f t="shared" si="12"/>
        <v>8.0166731513788177E-3</v>
      </c>
      <c r="AA55" s="238">
        <f t="shared" si="17"/>
        <v>6462.4540352204294</v>
      </c>
      <c r="AB55" s="236">
        <f>ROUND($C55*Allocations!$B$16,2)</f>
        <v>468310.87</v>
      </c>
      <c r="AC55" s="239">
        <f>$C55*Allocations!$B$24</f>
        <v>0</v>
      </c>
      <c r="AD55" s="242">
        <f t="shared" si="18"/>
        <v>1993952.38</v>
      </c>
      <c r="AE55" s="153"/>
      <c r="AF55" s="141"/>
      <c r="AG55" s="151"/>
      <c r="AH55" s="146"/>
      <c r="AI55" s="145"/>
      <c r="AJ55" s="146"/>
      <c r="AK55" s="151"/>
      <c r="AL55" s="146"/>
      <c r="AM55" s="145"/>
      <c r="AN55" s="146"/>
      <c r="AO55" s="145"/>
      <c r="AP55" s="146"/>
      <c r="AQ55" s="145"/>
      <c r="AR55" s="146"/>
      <c r="AS55" s="145"/>
      <c r="AT55" s="146"/>
      <c r="AU55" s="145"/>
      <c r="AV55" s="146"/>
      <c r="AW55" s="148"/>
      <c r="AX55" s="141"/>
      <c r="AY55" s="145"/>
      <c r="AZ55" s="146"/>
      <c r="BA55" s="149"/>
      <c r="BB55" s="150"/>
      <c r="BC55" s="179"/>
      <c r="BD55" s="176"/>
    </row>
    <row r="56" spans="1:56" s="30" customFormat="1" ht="12.75">
      <c r="A56" s="97" t="s">
        <v>53</v>
      </c>
      <c r="B56" s="47">
        <v>52</v>
      </c>
      <c r="C56" s="245">
        <v>8.5285507891717932E-3</v>
      </c>
      <c r="D56" s="237">
        <v>444084.08298855554</v>
      </c>
      <c r="E56" s="238">
        <v>91537.352807541654</v>
      </c>
      <c r="F56" s="597">
        <v>561376.07937506167</v>
      </c>
      <c r="G56" s="238">
        <v>113564.36</v>
      </c>
      <c r="H56" s="427">
        <v>534126.61</v>
      </c>
      <c r="I56" s="388">
        <f>$C56*Allocations!$B$16</f>
        <v>490797.04092493822</v>
      </c>
      <c r="J56" s="235">
        <f t="shared" si="6"/>
        <v>2235485.5260960972</v>
      </c>
      <c r="K56" s="165">
        <f t="shared" si="7"/>
        <v>558871.38</v>
      </c>
      <c r="L56" s="809">
        <v>1079948.28</v>
      </c>
      <c r="M56" s="425">
        <f t="shared" si="8"/>
        <v>1570745.3209249382</v>
      </c>
      <c r="N56" s="237">
        <f t="shared" si="13"/>
        <v>0</v>
      </c>
      <c r="O56" s="238">
        <f t="shared" si="14"/>
        <v>0</v>
      </c>
      <c r="P56" s="317"/>
      <c r="Q56" s="318"/>
      <c r="R56" s="318"/>
      <c r="S56" s="319"/>
      <c r="T56" s="328">
        <f>'Project Final Cost Tracking'!C55</f>
        <v>0</v>
      </c>
      <c r="U56" s="339">
        <f t="shared" si="9"/>
        <v>1570745.3209249382</v>
      </c>
      <c r="V56" s="338">
        <f t="shared" si="15"/>
        <v>2.8105667549569961</v>
      </c>
      <c r="W56" s="339">
        <f t="shared" si="10"/>
        <v>3779332.00508716</v>
      </c>
      <c r="X56" s="340">
        <f t="shared" si="16"/>
        <v>0</v>
      </c>
      <c r="Y56" s="237">
        <f t="shared" si="11"/>
        <v>534126.61</v>
      </c>
      <c r="Z56" s="253">
        <f t="shared" si="12"/>
        <v>9.4395631127915571E-3</v>
      </c>
      <c r="AA56" s="238">
        <f t="shared" si="17"/>
        <v>7609.4835821622119</v>
      </c>
      <c r="AB56" s="236">
        <f>ROUND($C56*Allocations!$B$16,2)</f>
        <v>490797.04</v>
      </c>
      <c r="AC56" s="239">
        <f>$C56*Allocations!$B$24</f>
        <v>0</v>
      </c>
      <c r="AD56" s="242">
        <f t="shared" si="18"/>
        <v>1578354.8</v>
      </c>
      <c r="AE56" s="153"/>
      <c r="AF56" s="141"/>
      <c r="AG56" s="151"/>
      <c r="AH56" s="146"/>
      <c r="AI56" s="145"/>
      <c r="AJ56" s="146"/>
      <c r="AK56" s="151"/>
      <c r="AL56" s="146"/>
      <c r="AM56" s="145"/>
      <c r="AN56" s="166"/>
      <c r="AO56" s="145"/>
      <c r="AP56" s="146"/>
      <c r="AQ56" s="145"/>
      <c r="AR56" s="146"/>
      <c r="AS56" s="145"/>
      <c r="AT56" s="146"/>
      <c r="AU56" s="145"/>
      <c r="AV56" s="146"/>
      <c r="AW56" s="148"/>
      <c r="AX56" s="141"/>
      <c r="AY56" s="145"/>
      <c r="AZ56" s="146"/>
      <c r="BA56" s="149"/>
      <c r="BB56" s="150"/>
      <c r="BC56" s="179"/>
      <c r="BD56" s="176"/>
    </row>
    <row r="57" spans="1:56" s="30" customFormat="1" ht="12.75">
      <c r="A57" s="97" t="s">
        <v>54</v>
      </c>
      <c r="B57" s="47">
        <v>53</v>
      </c>
      <c r="C57" s="245">
        <v>4.555214043203748E-3</v>
      </c>
      <c r="D57" s="237">
        <v>263045.28782982763</v>
      </c>
      <c r="E57" s="238">
        <v>54220.518678353073</v>
      </c>
      <c r="F57" s="597">
        <v>255028.67305509798</v>
      </c>
      <c r="G57" s="238">
        <v>51591.38</v>
      </c>
      <c r="H57" s="427">
        <v>248668.24</v>
      </c>
      <c r="I57" s="388">
        <f>$C57*Allocations!$B$16</f>
        <v>262141.32136290302</v>
      </c>
      <c r="J57" s="235">
        <f t="shared" si="6"/>
        <v>1134695.4209261816</v>
      </c>
      <c r="K57" s="165">
        <f t="shared" si="7"/>
        <v>283673.86</v>
      </c>
      <c r="L57" s="809">
        <v>1063452.58</v>
      </c>
      <c r="M57" s="425">
        <f t="shared" si="8"/>
        <v>1325593.9013629032</v>
      </c>
      <c r="N57" s="237">
        <f t="shared" si="13"/>
        <v>534526.9</v>
      </c>
      <c r="O57" s="238">
        <f t="shared" si="14"/>
        <v>534526.9</v>
      </c>
      <c r="P57" s="317"/>
      <c r="Q57" s="318"/>
      <c r="R57" s="318"/>
      <c r="S57" s="319"/>
      <c r="T57" s="328">
        <f>'Project Final Cost Tracking'!C56</f>
        <v>0</v>
      </c>
      <c r="U57" s="339">
        <f t="shared" si="9"/>
        <v>791067.00136290316</v>
      </c>
      <c r="V57" s="338">
        <f t="shared" si="15"/>
        <v>2.7886496181315517</v>
      </c>
      <c r="W57" s="339">
        <f t="shared" si="10"/>
        <v>1970702.9474959667</v>
      </c>
      <c r="X57" s="340">
        <f t="shared" si="16"/>
        <v>0</v>
      </c>
      <c r="Y57" s="237">
        <f t="shared" si="11"/>
        <v>248668.24</v>
      </c>
      <c r="Z57" s="253">
        <f t="shared" si="12"/>
        <v>4.3946875173038052E-3</v>
      </c>
      <c r="AA57" s="238">
        <f t="shared" si="17"/>
        <v>3542.6748157804241</v>
      </c>
      <c r="AB57" s="236">
        <f>ROUND($C57*Allocations!$B$16,2)</f>
        <v>262141.32</v>
      </c>
      <c r="AC57" s="239">
        <f>$C57*Allocations!$B$24</f>
        <v>0</v>
      </c>
      <c r="AD57" s="242">
        <f t="shared" si="18"/>
        <v>794609.67</v>
      </c>
      <c r="AE57" s="153"/>
      <c r="AF57" s="141"/>
      <c r="AG57" s="151"/>
      <c r="AH57" s="146"/>
      <c r="AI57" s="145"/>
      <c r="AJ57" s="146"/>
      <c r="AK57" s="151"/>
      <c r="AL57" s="146"/>
      <c r="AM57" s="145"/>
      <c r="AN57" s="146"/>
      <c r="AO57" s="145"/>
      <c r="AP57" s="146"/>
      <c r="AQ57" s="145">
        <f>Jones!C4</f>
        <v>534526.9</v>
      </c>
      <c r="AR57" s="146">
        <f>Jones!D4</f>
        <v>534526.9</v>
      </c>
      <c r="AS57" s="145"/>
      <c r="AT57" s="146"/>
      <c r="AU57" s="145"/>
      <c r="AV57" s="146"/>
      <c r="AW57" s="148"/>
      <c r="AX57" s="141"/>
      <c r="AY57" s="145"/>
      <c r="AZ57" s="146"/>
      <c r="BA57" s="149"/>
      <c r="BB57" s="150"/>
      <c r="BC57" s="179"/>
      <c r="BD57" s="176"/>
    </row>
    <row r="58" spans="1:56" s="30" customFormat="1" ht="12.75">
      <c r="A58" s="97" t="s">
        <v>55</v>
      </c>
      <c r="B58" s="47">
        <v>54</v>
      </c>
      <c r="C58" s="245">
        <v>7.2266008444353512E-3</v>
      </c>
      <c r="D58" s="237">
        <v>414204.23477036942</v>
      </c>
      <c r="E58" s="238">
        <v>85378.334024933356</v>
      </c>
      <c r="F58" s="597">
        <v>416906.11318583705</v>
      </c>
      <c r="G58" s="238">
        <v>84338.61</v>
      </c>
      <c r="H58" s="427">
        <v>426093.06</v>
      </c>
      <c r="I58" s="388">
        <f>$C58*Allocations!$B$16</f>
        <v>415873.03611976956</v>
      </c>
      <c r="J58" s="235">
        <f t="shared" si="6"/>
        <v>1842793.3881009093</v>
      </c>
      <c r="K58" s="165">
        <f t="shared" si="7"/>
        <v>460698.35</v>
      </c>
      <c r="L58" s="809">
        <v>102856.15</v>
      </c>
      <c r="M58" s="425">
        <f t="shared" si="8"/>
        <v>518729.18611976958</v>
      </c>
      <c r="N58" s="237">
        <f t="shared" si="13"/>
        <v>0</v>
      </c>
      <c r="O58" s="238">
        <f t="shared" si="14"/>
        <v>0</v>
      </c>
      <c r="P58" s="317"/>
      <c r="Q58" s="318"/>
      <c r="R58" s="318"/>
      <c r="S58" s="319"/>
      <c r="T58" s="328">
        <f>'Project Final Cost Tracking'!C57</f>
        <v>0</v>
      </c>
      <c r="U58" s="339">
        <f t="shared" si="9"/>
        <v>518729.18611976958</v>
      </c>
      <c r="V58" s="338">
        <f t="shared" si="15"/>
        <v>1.1259627609253855</v>
      </c>
      <c r="W58" s="339">
        <f t="shared" si="10"/>
        <v>2390157.8486587326</v>
      </c>
      <c r="X58" s="340">
        <f t="shared" si="16"/>
        <v>0</v>
      </c>
      <c r="Y58" s="237">
        <f t="shared" si="11"/>
        <v>426093.06</v>
      </c>
      <c r="Z58" s="253">
        <f t="shared" si="12"/>
        <v>7.5302976045182992E-3</v>
      </c>
      <c r="AA58" s="238">
        <f t="shared" si="17"/>
        <v>6070.3737350649099</v>
      </c>
      <c r="AB58" s="236">
        <f>ROUND($C58*Allocations!$B$16,2)</f>
        <v>415873.04</v>
      </c>
      <c r="AC58" s="239">
        <f>$C58*Allocations!$B$24</f>
        <v>0</v>
      </c>
      <c r="AD58" s="242">
        <f t="shared" si="18"/>
        <v>524799.56000000006</v>
      </c>
      <c r="AE58" s="153"/>
      <c r="AF58" s="141"/>
      <c r="AG58" s="151"/>
      <c r="AH58" s="146"/>
      <c r="AI58" s="145"/>
      <c r="AJ58" s="146"/>
      <c r="AK58" s="151"/>
      <c r="AL58" s="146"/>
      <c r="AM58" s="145"/>
      <c r="AN58" s="146"/>
      <c r="AO58" s="145"/>
      <c r="AP58" s="146"/>
      <c r="AQ58" s="145"/>
      <c r="AR58" s="146"/>
      <c r="AS58" s="145"/>
      <c r="AT58" s="146"/>
      <c r="AU58" s="145"/>
      <c r="AV58" s="146"/>
      <c r="AW58" s="148"/>
      <c r="AX58" s="141"/>
      <c r="AY58" s="145"/>
      <c r="AZ58" s="146"/>
      <c r="BA58" s="149"/>
      <c r="BB58" s="150"/>
      <c r="BC58" s="179"/>
      <c r="BD58" s="176"/>
    </row>
    <row r="59" spans="1:56" s="30" customFormat="1" ht="12.75">
      <c r="A59" s="98" t="s">
        <v>56</v>
      </c>
      <c r="B59" s="46">
        <v>55</v>
      </c>
      <c r="C59" s="246">
        <v>1.1629139258928799E-2</v>
      </c>
      <c r="D59" s="303">
        <v>627686.64045986079</v>
      </c>
      <c r="E59" s="341">
        <v>129382.64545238281</v>
      </c>
      <c r="F59" s="595">
        <v>730899.78186212445</v>
      </c>
      <c r="G59" s="341">
        <v>147858.4</v>
      </c>
      <c r="H59" s="428">
        <v>658257.48</v>
      </c>
      <c r="I59" s="389">
        <f>$C59*Allocations!$B$16</f>
        <v>669228.25200652203</v>
      </c>
      <c r="J59" s="385">
        <f t="shared" si="6"/>
        <v>2963313.1997808898</v>
      </c>
      <c r="K59" s="168">
        <f t="shared" si="7"/>
        <v>740828.3</v>
      </c>
      <c r="L59" s="810">
        <v>-1245449.21</v>
      </c>
      <c r="M59" s="426">
        <f t="shared" si="8"/>
        <v>-576220.95799347793</v>
      </c>
      <c r="N59" s="303">
        <f t="shared" si="13"/>
        <v>0</v>
      </c>
      <c r="O59" s="341">
        <f t="shared" si="14"/>
        <v>0</v>
      </c>
      <c r="P59" s="342"/>
      <c r="Q59" s="343"/>
      <c r="R59" s="343"/>
      <c r="S59" s="344"/>
      <c r="T59" s="188">
        <f>'Project Final Cost Tracking'!C58</f>
        <v>46922.20000000007</v>
      </c>
      <c r="U59" s="346">
        <f t="shared" si="9"/>
        <v>-623143.157993478</v>
      </c>
      <c r="V59" s="345">
        <f t="shared" si="15"/>
        <v>-0.8411438358840746</v>
      </c>
      <c r="W59" s="346">
        <f t="shared" si="10"/>
        <v>2388383.9760358715</v>
      </c>
      <c r="X59" s="347">
        <f t="shared" si="16"/>
        <v>0</v>
      </c>
      <c r="Y59" s="303">
        <f t="shared" si="11"/>
        <v>658257.48</v>
      </c>
      <c r="Z59" s="348">
        <f t="shared" si="12"/>
        <v>1.1633314855680241E-2</v>
      </c>
      <c r="AA59" s="341">
        <f t="shared" si="17"/>
        <v>9377.9253703451886</v>
      </c>
      <c r="AB59" s="231">
        <f>ROUND($C59*Allocations!$B$16,2)</f>
        <v>669228.25</v>
      </c>
      <c r="AC59" s="240">
        <f>$C59*Allocations!$B$24</f>
        <v>0</v>
      </c>
      <c r="AD59" s="244">
        <f t="shared" si="18"/>
        <v>-613765.23</v>
      </c>
      <c r="AE59" s="162"/>
      <c r="AF59" s="159"/>
      <c r="AG59" s="174"/>
      <c r="AH59" s="157"/>
      <c r="AI59" s="156"/>
      <c r="AJ59" s="157"/>
      <c r="AK59" s="174"/>
      <c r="AL59" s="157"/>
      <c r="AM59" s="156"/>
      <c r="AN59" s="157"/>
      <c r="AO59" s="156"/>
      <c r="AP59" s="157"/>
      <c r="AQ59" s="156"/>
      <c r="AR59" s="157"/>
      <c r="AS59" s="156"/>
      <c r="AT59" s="157"/>
      <c r="AU59" s="156"/>
      <c r="AV59" s="157"/>
      <c r="AW59" s="158"/>
      <c r="AX59" s="159"/>
      <c r="AY59" s="156"/>
      <c r="AZ59" s="157"/>
      <c r="BA59" s="160"/>
      <c r="BB59" s="161"/>
      <c r="BC59" s="180"/>
      <c r="BD59" s="176"/>
    </row>
    <row r="60" spans="1:56" s="30" customFormat="1" ht="12.75">
      <c r="A60" s="97" t="s">
        <v>57</v>
      </c>
      <c r="B60" s="47">
        <v>56</v>
      </c>
      <c r="C60" s="245">
        <v>6.8799777818136683E-3</v>
      </c>
      <c r="D60" s="237">
        <v>371153.39069971011</v>
      </c>
      <c r="E60" s="238">
        <v>76504.428264028247</v>
      </c>
      <c r="F60" s="597">
        <v>335629.30966596591</v>
      </c>
      <c r="G60" s="238">
        <v>67896.600000000006</v>
      </c>
      <c r="H60" s="427">
        <v>398044.13</v>
      </c>
      <c r="I60" s="388">
        <f>$C60*Allocations!$B$16</f>
        <v>395925.73467823333</v>
      </c>
      <c r="J60" s="235">
        <f t="shared" si="6"/>
        <v>1645153.5933079375</v>
      </c>
      <c r="K60" s="165">
        <f t="shared" si="7"/>
        <v>411288.4</v>
      </c>
      <c r="L60" s="809">
        <v>1346192.68</v>
      </c>
      <c r="M60" s="425">
        <f t="shared" si="8"/>
        <v>1742118.4146782332</v>
      </c>
      <c r="N60" s="237">
        <f t="shared" si="13"/>
        <v>0</v>
      </c>
      <c r="O60" s="238">
        <f t="shared" si="14"/>
        <v>0</v>
      </c>
      <c r="P60" s="317"/>
      <c r="Q60" s="318"/>
      <c r="R60" s="318"/>
      <c r="S60" s="319"/>
      <c r="T60" s="328">
        <f>'Project Final Cost Tracking'!C59</f>
        <v>-27751.200000000041</v>
      </c>
      <c r="U60" s="339">
        <f t="shared" si="9"/>
        <v>1769869.6146782332</v>
      </c>
      <c r="V60" s="338">
        <f t="shared" si="15"/>
        <v>4.303232511975132</v>
      </c>
      <c r="W60" s="339">
        <f t="shared" si="10"/>
        <v>3551535.4207302835</v>
      </c>
      <c r="X60" s="340">
        <f t="shared" si="16"/>
        <v>124716.02137029567</v>
      </c>
      <c r="Y60" s="237">
        <f t="shared" si="11"/>
        <v>0</v>
      </c>
      <c r="Z60" s="253">
        <f t="shared" si="12"/>
        <v>0</v>
      </c>
      <c r="AA60" s="238">
        <f t="shared" si="17"/>
        <v>0</v>
      </c>
      <c r="AB60" s="236">
        <f>ROUND($C60*Allocations!$B$16,2)</f>
        <v>395925.73</v>
      </c>
      <c r="AC60" s="239">
        <f>$C60*Allocations!$B$24</f>
        <v>0</v>
      </c>
      <c r="AD60" s="242">
        <f t="shared" si="18"/>
        <v>1645153.59</v>
      </c>
      <c r="AE60" s="153"/>
      <c r="AF60" s="141"/>
      <c r="AG60" s="151"/>
      <c r="AH60" s="146"/>
      <c r="AI60" s="145"/>
      <c r="AJ60" s="146"/>
      <c r="AK60" s="151"/>
      <c r="AL60" s="146"/>
      <c r="AM60" s="145"/>
      <c r="AN60" s="146"/>
      <c r="AO60" s="145"/>
      <c r="AP60" s="146"/>
      <c r="AQ60" s="145"/>
      <c r="AR60" s="146"/>
      <c r="AS60" s="145"/>
      <c r="AT60" s="146"/>
      <c r="AU60" s="145"/>
      <c r="AV60" s="146"/>
      <c r="AW60" s="148"/>
      <c r="AX60" s="141"/>
      <c r="AY60" s="145"/>
      <c r="AZ60" s="146"/>
      <c r="BA60" s="149"/>
      <c r="BB60" s="150"/>
      <c r="BC60" s="179"/>
      <c r="BD60" s="176"/>
    </row>
    <row r="61" spans="1:56" s="30" customFormat="1" ht="12.75">
      <c r="A61" s="97" t="s">
        <v>58</v>
      </c>
      <c r="B61" s="47">
        <v>57</v>
      </c>
      <c r="C61" s="245">
        <v>9.7480879329840762E-3</v>
      </c>
      <c r="D61" s="237">
        <v>680699.65945273079</v>
      </c>
      <c r="E61" s="238">
        <v>140310.01621128549</v>
      </c>
      <c r="F61" s="597">
        <v>686178.61298206169</v>
      </c>
      <c r="G61" s="238">
        <v>138811.47</v>
      </c>
      <c r="H61" s="427">
        <v>584506.69999999995</v>
      </c>
      <c r="I61" s="388">
        <f>$C61*Allocations!$B$16</f>
        <v>560978.39251412707</v>
      </c>
      <c r="J61" s="235">
        <f t="shared" si="6"/>
        <v>2791484.851160205</v>
      </c>
      <c r="K61" s="165">
        <f t="shared" si="7"/>
        <v>697871.21</v>
      </c>
      <c r="L61" s="809">
        <v>1720684.85</v>
      </c>
      <c r="M61" s="425">
        <f t="shared" si="8"/>
        <v>2281663.2425141269</v>
      </c>
      <c r="N61" s="237">
        <f t="shared" si="13"/>
        <v>0</v>
      </c>
      <c r="O61" s="238">
        <f t="shared" si="14"/>
        <v>0</v>
      </c>
      <c r="P61" s="317"/>
      <c r="Q61" s="318"/>
      <c r="R61" s="318"/>
      <c r="S61" s="319"/>
      <c r="T61" s="328">
        <f>'Project Final Cost Tracking'!C60</f>
        <v>0</v>
      </c>
      <c r="U61" s="339">
        <f t="shared" si="9"/>
        <v>2281663.2425141269</v>
      </c>
      <c r="V61" s="338">
        <f t="shared" si="15"/>
        <v>3.269461771483777</v>
      </c>
      <c r="W61" s="339">
        <f t="shared" si="10"/>
        <v>4806066.0088276993</v>
      </c>
      <c r="X61" s="340">
        <f t="shared" si="16"/>
        <v>0</v>
      </c>
      <c r="Y61" s="237">
        <f t="shared" si="11"/>
        <v>584506.69999999995</v>
      </c>
      <c r="Z61" s="253">
        <f t="shared" si="12"/>
        <v>1.0329925117379042E-2</v>
      </c>
      <c r="AA61" s="238">
        <f t="shared" si="17"/>
        <v>8327.2281403725847</v>
      </c>
      <c r="AB61" s="236">
        <f>ROUND($C61*Allocations!$B$16,2)</f>
        <v>560978.39</v>
      </c>
      <c r="AC61" s="239">
        <f>$C61*Allocations!$B$24</f>
        <v>0</v>
      </c>
      <c r="AD61" s="242">
        <f t="shared" si="18"/>
        <v>2289990.4700000002</v>
      </c>
      <c r="AE61" s="153"/>
      <c r="AF61" s="141"/>
      <c r="AG61" s="151"/>
      <c r="AH61" s="146"/>
      <c r="AI61" s="145"/>
      <c r="AJ61" s="146"/>
      <c r="AK61" s="151"/>
      <c r="AL61" s="146"/>
      <c r="AM61" s="145"/>
      <c r="AN61" s="146"/>
      <c r="AO61" s="145"/>
      <c r="AP61" s="146"/>
      <c r="AQ61" s="145"/>
      <c r="AR61" s="146"/>
      <c r="AS61" s="145"/>
      <c r="AT61" s="146"/>
      <c r="AU61" s="145"/>
      <c r="AV61" s="146"/>
      <c r="AW61" s="148"/>
      <c r="AX61" s="141"/>
      <c r="AY61" s="145"/>
      <c r="AZ61" s="146"/>
      <c r="BA61" s="149"/>
      <c r="BB61" s="150"/>
      <c r="BC61" s="179"/>
      <c r="BD61" s="176"/>
    </row>
    <row r="62" spans="1:56" s="30" customFormat="1" ht="12.75">
      <c r="A62" s="97" t="s">
        <v>59</v>
      </c>
      <c r="B62" s="47">
        <v>58</v>
      </c>
      <c r="C62" s="245">
        <v>5.4044303193232553E-3</v>
      </c>
      <c r="D62" s="237">
        <v>269193.98314521066</v>
      </c>
      <c r="E62" s="238">
        <v>55487.925716683705</v>
      </c>
      <c r="F62" s="597">
        <v>256241.57807450608</v>
      </c>
      <c r="G62" s="238">
        <v>51836.75</v>
      </c>
      <c r="H62" s="427">
        <v>313681.28999999998</v>
      </c>
      <c r="I62" s="388">
        <f>$C62*Allocations!$B$16</f>
        <v>311011.62133859494</v>
      </c>
      <c r="J62" s="235">
        <f t="shared" si="6"/>
        <v>1257453.1482749954</v>
      </c>
      <c r="K62" s="165">
        <f t="shared" si="7"/>
        <v>314363.28999999998</v>
      </c>
      <c r="L62" s="809">
        <v>-1028414.28</v>
      </c>
      <c r="M62" s="425">
        <f t="shared" si="8"/>
        <v>-717402.65866140509</v>
      </c>
      <c r="N62" s="237">
        <f t="shared" si="13"/>
        <v>0</v>
      </c>
      <c r="O62" s="238">
        <f t="shared" si="14"/>
        <v>0</v>
      </c>
      <c r="P62" s="317"/>
      <c r="Q62" s="318"/>
      <c r="R62" s="318"/>
      <c r="S62" s="319"/>
      <c r="T62" s="328">
        <f>'Project Final Cost Tracking'!C61</f>
        <v>0</v>
      </c>
      <c r="U62" s="339">
        <f t="shared" si="9"/>
        <v>-717402.65866140509</v>
      </c>
      <c r="V62" s="338">
        <f t="shared" si="15"/>
        <v>-2.2820815326796113</v>
      </c>
      <c r="W62" s="339">
        <f t="shared" si="10"/>
        <v>682149.63736227201</v>
      </c>
      <c r="X62" s="340">
        <f t="shared" si="16"/>
        <v>0</v>
      </c>
      <c r="Y62" s="237">
        <f t="shared" si="11"/>
        <v>313681.28999999998</v>
      </c>
      <c r="Z62" s="253">
        <f t="shared" si="12"/>
        <v>5.543656277033026E-3</v>
      </c>
      <c r="AA62" s="238">
        <f t="shared" si="17"/>
        <v>4468.8891764566151</v>
      </c>
      <c r="AB62" s="236">
        <f>ROUND($C62*Allocations!$B$16,2)</f>
        <v>311011.62</v>
      </c>
      <c r="AC62" s="239">
        <f>$C62*Allocations!$B$24</f>
        <v>0</v>
      </c>
      <c r="AD62" s="242">
        <f t="shared" si="18"/>
        <v>-712933.77</v>
      </c>
      <c r="AE62" s="153"/>
      <c r="AF62" s="141"/>
      <c r="AG62" s="151"/>
      <c r="AH62" s="146"/>
      <c r="AI62" s="145"/>
      <c r="AJ62" s="146"/>
      <c r="AK62" s="151"/>
      <c r="AL62" s="146"/>
      <c r="AM62" s="145"/>
      <c r="AN62" s="146"/>
      <c r="AO62" s="145"/>
      <c r="AP62" s="146"/>
      <c r="AQ62" s="145"/>
      <c r="AR62" s="146"/>
      <c r="AS62" s="145"/>
      <c r="AT62" s="146"/>
      <c r="AU62" s="145"/>
      <c r="AV62" s="146"/>
      <c r="AW62" s="148"/>
      <c r="AX62" s="141"/>
      <c r="AY62" s="145"/>
      <c r="AZ62" s="146"/>
      <c r="BA62" s="149"/>
      <c r="BB62" s="150"/>
      <c r="BC62" s="179"/>
      <c r="BD62" s="176"/>
    </row>
    <row r="63" spans="1:56" s="30" customFormat="1" ht="12.75">
      <c r="A63" s="97" t="s">
        <v>60</v>
      </c>
      <c r="B63" s="47">
        <v>59</v>
      </c>
      <c r="C63" s="245">
        <v>8.1536254356137788E-3</v>
      </c>
      <c r="D63" s="237">
        <v>329887.71738084283</v>
      </c>
      <c r="E63" s="238">
        <v>67998.492919510943</v>
      </c>
      <c r="F63" s="597">
        <v>382555.79384919128</v>
      </c>
      <c r="G63" s="238">
        <v>77389.66</v>
      </c>
      <c r="H63" s="427">
        <v>432805.44</v>
      </c>
      <c r="I63" s="388">
        <f>$C63*Allocations!$B$16</f>
        <v>469221.01251837244</v>
      </c>
      <c r="J63" s="235">
        <f t="shared" si="6"/>
        <v>1759858.1166679175</v>
      </c>
      <c r="K63" s="165">
        <f t="shared" si="7"/>
        <v>439964.53</v>
      </c>
      <c r="L63" s="809">
        <v>1295532.18</v>
      </c>
      <c r="M63" s="425">
        <f t="shared" si="8"/>
        <v>1764753.1925183723</v>
      </c>
      <c r="N63" s="237">
        <f t="shared" si="13"/>
        <v>0</v>
      </c>
      <c r="O63" s="238">
        <f t="shared" si="14"/>
        <v>0</v>
      </c>
      <c r="P63" s="317"/>
      <c r="Q63" s="318"/>
      <c r="R63" s="318"/>
      <c r="S63" s="319"/>
      <c r="T63" s="328">
        <f>'Project Final Cost Tracking'!C62</f>
        <v>0</v>
      </c>
      <c r="U63" s="339">
        <f t="shared" si="9"/>
        <v>1764753.1925183723</v>
      </c>
      <c r="V63" s="338">
        <f t="shared" si="15"/>
        <v>4.0111260617267765</v>
      </c>
      <c r="W63" s="339">
        <f t="shared" si="10"/>
        <v>3876247.7488510488</v>
      </c>
      <c r="X63" s="340">
        <f t="shared" si="16"/>
        <v>4895.0758504548576</v>
      </c>
      <c r="Y63" s="237">
        <f t="shared" si="11"/>
        <v>0</v>
      </c>
      <c r="Z63" s="253">
        <f t="shared" si="12"/>
        <v>0</v>
      </c>
      <c r="AA63" s="238">
        <f t="shared" si="17"/>
        <v>0</v>
      </c>
      <c r="AB63" s="236">
        <f>ROUND($C63*Allocations!$B$16,2)</f>
        <v>469221.01</v>
      </c>
      <c r="AC63" s="239">
        <f>$C63*Allocations!$B$24</f>
        <v>0</v>
      </c>
      <c r="AD63" s="242">
        <f t="shared" si="18"/>
        <v>1759858.11</v>
      </c>
      <c r="AE63" s="153"/>
      <c r="AF63" s="141"/>
      <c r="AG63" s="151"/>
      <c r="AH63" s="146"/>
      <c r="AI63" s="145"/>
      <c r="AJ63" s="146"/>
      <c r="AK63" s="151"/>
      <c r="AL63" s="146"/>
      <c r="AM63" s="145"/>
      <c r="AN63" s="146"/>
      <c r="AO63" s="145"/>
      <c r="AP63" s="146"/>
      <c r="AQ63" s="145"/>
      <c r="AR63" s="146"/>
      <c r="AS63" s="145"/>
      <c r="AT63" s="146"/>
      <c r="AU63" s="145"/>
      <c r="AV63" s="146"/>
      <c r="AW63" s="148"/>
      <c r="AX63" s="141"/>
      <c r="AY63" s="145"/>
      <c r="AZ63" s="146"/>
      <c r="BA63" s="149"/>
      <c r="BB63" s="150"/>
      <c r="BC63" s="179"/>
      <c r="BD63" s="176"/>
    </row>
    <row r="64" spans="1:56" s="30" customFormat="1" ht="12.75">
      <c r="A64" s="98" t="s">
        <v>61</v>
      </c>
      <c r="B64" s="46">
        <v>60</v>
      </c>
      <c r="C64" s="246">
        <v>1.7276959513799556E-2</v>
      </c>
      <c r="D64" s="303">
        <v>814365.99987922062</v>
      </c>
      <c r="E64" s="341">
        <v>167862.14750987088</v>
      </c>
      <c r="F64" s="595">
        <v>834486.11070044199</v>
      </c>
      <c r="G64" s="341">
        <v>168813.54</v>
      </c>
      <c r="H64" s="428">
        <v>912167.73</v>
      </c>
      <c r="I64" s="389">
        <f>$C64*Allocations!$B$16</f>
        <v>994246.36320612486</v>
      </c>
      <c r="J64" s="385">
        <f t="shared" si="6"/>
        <v>3891941.8912956584</v>
      </c>
      <c r="K64" s="168">
        <f t="shared" si="7"/>
        <v>972985.47</v>
      </c>
      <c r="L64" s="810">
        <v>1449371.94</v>
      </c>
      <c r="M64" s="426">
        <f t="shared" si="8"/>
        <v>2443618.3032061248</v>
      </c>
      <c r="N64" s="303">
        <f t="shared" si="13"/>
        <v>505988.6</v>
      </c>
      <c r="O64" s="341">
        <f t="shared" si="14"/>
        <v>505988.6</v>
      </c>
      <c r="P64" s="342"/>
      <c r="Q64" s="343"/>
      <c r="R64" s="343"/>
      <c r="S64" s="344"/>
      <c r="T64" s="188">
        <f>'Project Final Cost Tracking'!C63</f>
        <v>-40077</v>
      </c>
      <c r="U64" s="346">
        <f t="shared" si="9"/>
        <v>1977706.7032061247</v>
      </c>
      <c r="V64" s="345">
        <f t="shared" si="15"/>
        <v>2.0326168932472597</v>
      </c>
      <c r="W64" s="346">
        <f t="shared" si="10"/>
        <v>6451815.3376336871</v>
      </c>
      <c r="X64" s="347">
        <f t="shared" si="16"/>
        <v>0</v>
      </c>
      <c r="Y64" s="303">
        <f t="shared" si="11"/>
        <v>912167.73</v>
      </c>
      <c r="Z64" s="348">
        <f t="shared" si="12"/>
        <v>1.612064386154962E-2</v>
      </c>
      <c r="AA64" s="341">
        <f t="shared" si="17"/>
        <v>12995.280960844046</v>
      </c>
      <c r="AB64" s="231">
        <f>ROUND($C64*Allocations!$B$16,2)</f>
        <v>994246.36</v>
      </c>
      <c r="AC64" s="240">
        <f>$C64*Allocations!$B$24</f>
        <v>0</v>
      </c>
      <c r="AD64" s="244">
        <f t="shared" si="18"/>
        <v>1990701.98</v>
      </c>
      <c r="AE64" s="162"/>
      <c r="AF64" s="159"/>
      <c r="AG64" s="174"/>
      <c r="AH64" s="157"/>
      <c r="AI64" s="156"/>
      <c r="AJ64" s="157"/>
      <c r="AK64" s="174"/>
      <c r="AL64" s="157"/>
      <c r="AM64" s="156"/>
      <c r="AN64" s="157"/>
      <c r="AO64" s="156"/>
      <c r="AP64" s="157"/>
      <c r="AQ64" s="156"/>
      <c r="AR64" s="157"/>
      <c r="AS64" s="156"/>
      <c r="AT64" s="157"/>
      <c r="AU64" s="156">
        <f>Lyon!C9</f>
        <v>505988.6</v>
      </c>
      <c r="AV64" s="157">
        <f>Lyon!D9</f>
        <v>505988.6</v>
      </c>
      <c r="AW64" s="158"/>
      <c r="AX64" s="159"/>
      <c r="AY64" s="156"/>
      <c r="AZ64" s="157"/>
      <c r="BA64" s="160"/>
      <c r="BB64" s="161"/>
      <c r="BC64" s="180"/>
      <c r="BD64" s="176"/>
    </row>
    <row r="65" spans="1:56" s="30" customFormat="1" ht="12.75">
      <c r="A65" s="97" t="s">
        <v>62</v>
      </c>
      <c r="B65" s="47">
        <v>61</v>
      </c>
      <c r="C65" s="245">
        <v>1.6123179403302223E-2</v>
      </c>
      <c r="D65" s="237">
        <v>1007890.993964509</v>
      </c>
      <c r="E65" s="238">
        <v>207752.7140472871</v>
      </c>
      <c r="F65" s="597">
        <v>953438.22824239614</v>
      </c>
      <c r="G65" s="238">
        <v>192877.13</v>
      </c>
      <c r="H65" s="427">
        <v>934470.39</v>
      </c>
      <c r="I65" s="388">
        <f>$C65*Allocations!$B$16</f>
        <v>927849.1665300962</v>
      </c>
      <c r="J65" s="235">
        <f t="shared" si="6"/>
        <v>4224278.6227842886</v>
      </c>
      <c r="K65" s="165">
        <f t="shared" si="7"/>
        <v>1056069.6599999999</v>
      </c>
      <c r="L65" s="809">
        <v>-286281.28999999998</v>
      </c>
      <c r="M65" s="425">
        <f t="shared" si="8"/>
        <v>641567.87653009617</v>
      </c>
      <c r="N65" s="237">
        <f t="shared" si="13"/>
        <v>2266867.37</v>
      </c>
      <c r="O65" s="238">
        <f t="shared" si="14"/>
        <v>1306867.3700000001</v>
      </c>
      <c r="P65" s="317"/>
      <c r="Q65" s="318"/>
      <c r="R65" s="318"/>
      <c r="S65" s="319"/>
      <c r="T65" s="328">
        <f>'Project Final Cost Tracking'!C64</f>
        <v>0</v>
      </c>
      <c r="U65" s="339">
        <f t="shared" si="9"/>
        <v>-665299.49346990394</v>
      </c>
      <c r="V65" s="338">
        <f t="shared" si="15"/>
        <v>-0.62997690272619322</v>
      </c>
      <c r="W65" s="339">
        <f t="shared" si="10"/>
        <v>3510021.7559155291</v>
      </c>
      <c r="X65" s="340">
        <f t="shared" si="16"/>
        <v>0</v>
      </c>
      <c r="Y65" s="237">
        <f t="shared" si="11"/>
        <v>934470.39</v>
      </c>
      <c r="Z65" s="253">
        <f t="shared" si="12"/>
        <v>1.6514796413981209E-2</v>
      </c>
      <c r="AA65" s="238">
        <f t="shared" si="17"/>
        <v>13313.017845566088</v>
      </c>
      <c r="AB65" s="236">
        <f>ROUND($C65*Allocations!$B$16,2)</f>
        <v>927849.17</v>
      </c>
      <c r="AC65" s="239">
        <f>$C65*Allocations!$B$24</f>
        <v>0</v>
      </c>
      <c r="AD65" s="242">
        <f t="shared" si="18"/>
        <v>-651986.47</v>
      </c>
      <c r="AE65" s="153"/>
      <c r="AF65" s="141"/>
      <c r="AG65" s="151"/>
      <c r="AH65" s="146"/>
      <c r="AI65" s="145"/>
      <c r="AJ65" s="146"/>
      <c r="AK65" s="151"/>
      <c r="AL65" s="146"/>
      <c r="AM65" s="145"/>
      <c r="AN65" s="146"/>
      <c r="AO65" s="145"/>
      <c r="AP65" s="146"/>
      <c r="AQ65" s="145">
        <f>Madison!C10</f>
        <v>1669266.76</v>
      </c>
      <c r="AR65" s="146">
        <f>Madison!D10</f>
        <v>709266.76</v>
      </c>
      <c r="AS65" s="145">
        <f>Madison!C11</f>
        <v>597600.61</v>
      </c>
      <c r="AT65" s="146">
        <f>Madison!D11</f>
        <v>597600.61</v>
      </c>
      <c r="AU65" s="145"/>
      <c r="AV65" s="146"/>
      <c r="AW65" s="148"/>
      <c r="AX65" s="141"/>
      <c r="AY65" s="145"/>
      <c r="AZ65" s="146"/>
      <c r="BA65" s="149"/>
      <c r="BB65" s="150"/>
      <c r="BC65" s="179"/>
      <c r="BD65" s="176"/>
    </row>
    <row r="66" spans="1:56" s="30" customFormat="1" ht="12.75">
      <c r="A66" s="97" t="s">
        <v>63</v>
      </c>
      <c r="B66" s="47">
        <v>62</v>
      </c>
      <c r="C66" s="245">
        <v>1.3981820664594977E-2</v>
      </c>
      <c r="D66" s="237">
        <v>940994.96383804805</v>
      </c>
      <c r="E66" s="238">
        <v>193963.69132460692</v>
      </c>
      <c r="F66" s="597">
        <v>930621.22638067033</v>
      </c>
      <c r="G66" s="238">
        <v>188261.33</v>
      </c>
      <c r="H66" s="427">
        <v>904721.06</v>
      </c>
      <c r="I66" s="388">
        <f>$C66*Allocations!$B$16</f>
        <v>804619.25813222001</v>
      </c>
      <c r="J66" s="235">
        <f t="shared" si="6"/>
        <v>3963181.5296755452</v>
      </c>
      <c r="K66" s="165">
        <f t="shared" si="7"/>
        <v>990795.38</v>
      </c>
      <c r="L66" s="809">
        <v>1606824.26</v>
      </c>
      <c r="M66" s="425">
        <f t="shared" si="8"/>
        <v>2411443.51813222</v>
      </c>
      <c r="N66" s="237">
        <f t="shared" si="13"/>
        <v>789617.8</v>
      </c>
      <c r="O66" s="238">
        <f t="shared" si="14"/>
        <v>789617.8</v>
      </c>
      <c r="P66" s="317"/>
      <c r="Q66" s="318"/>
      <c r="R66" s="318"/>
      <c r="S66" s="319"/>
      <c r="T66" s="328">
        <f>'Project Final Cost Tracking'!C65</f>
        <v>0</v>
      </c>
      <c r="U66" s="339">
        <f t="shared" si="9"/>
        <v>1621825.71813222</v>
      </c>
      <c r="V66" s="338">
        <f t="shared" si="15"/>
        <v>1.6368926933553323</v>
      </c>
      <c r="W66" s="339">
        <f t="shared" si="10"/>
        <v>5242612.3797272099</v>
      </c>
      <c r="X66" s="340">
        <f t="shared" si="16"/>
        <v>0</v>
      </c>
      <c r="Y66" s="237">
        <f t="shared" si="11"/>
        <v>904721.06</v>
      </c>
      <c r="Z66" s="253">
        <f t="shared" si="12"/>
        <v>1.5989039649871924E-2</v>
      </c>
      <c r="AA66" s="238">
        <f t="shared" si="17"/>
        <v>12889.191295873452</v>
      </c>
      <c r="AB66" s="236">
        <f>ROUND($C66*Allocations!$B$16,2)</f>
        <v>804619.26</v>
      </c>
      <c r="AC66" s="239">
        <f>$C66*Allocations!$B$24</f>
        <v>0</v>
      </c>
      <c r="AD66" s="242">
        <f t="shared" si="18"/>
        <v>1634714.91</v>
      </c>
      <c r="AE66" s="153"/>
      <c r="AF66" s="141"/>
      <c r="AG66" s="151"/>
      <c r="AH66" s="146"/>
      <c r="AI66" s="145"/>
      <c r="AJ66" s="146"/>
      <c r="AK66" s="151"/>
      <c r="AL66" s="146"/>
      <c r="AM66" s="145"/>
      <c r="AN66" s="146"/>
      <c r="AO66" s="145"/>
      <c r="AP66" s="146"/>
      <c r="AQ66" s="145"/>
      <c r="AR66" s="146"/>
      <c r="AS66" s="145"/>
      <c r="AT66" s="146"/>
      <c r="AU66" s="145"/>
      <c r="AV66" s="146"/>
      <c r="AW66" s="148"/>
      <c r="AX66" s="141"/>
      <c r="AY66" s="145"/>
      <c r="AZ66" s="146"/>
      <c r="BA66" s="149">
        <f>Mahaska!C7</f>
        <v>789617.8</v>
      </c>
      <c r="BB66" s="150">
        <f>Mahaska!D7</f>
        <v>789617.8</v>
      </c>
      <c r="BC66" s="179"/>
      <c r="BD66" s="176"/>
    </row>
    <row r="67" spans="1:56" s="30" customFormat="1" ht="12.75">
      <c r="A67" s="97" t="s">
        <v>64</v>
      </c>
      <c r="B67" s="47">
        <v>63</v>
      </c>
      <c r="C67" s="245">
        <v>7.1597276354234025E-3</v>
      </c>
      <c r="D67" s="237">
        <v>474310.33088873955</v>
      </c>
      <c r="E67" s="238">
        <v>97767.77363115552</v>
      </c>
      <c r="F67" s="597">
        <v>479488.49295222393</v>
      </c>
      <c r="G67" s="238">
        <v>96998.8</v>
      </c>
      <c r="H67" s="427">
        <v>460104.02</v>
      </c>
      <c r="I67" s="388">
        <f>$C67*Allocations!$B$16</f>
        <v>412024.64805108495</v>
      </c>
      <c r="J67" s="235">
        <f t="shared" si="6"/>
        <v>2020694.0655232039</v>
      </c>
      <c r="K67" s="165">
        <f t="shared" si="7"/>
        <v>505173.52</v>
      </c>
      <c r="L67" s="809">
        <v>-340260.77</v>
      </c>
      <c r="M67" s="425">
        <f t="shared" si="8"/>
        <v>71763.878051084932</v>
      </c>
      <c r="N67" s="237">
        <f t="shared" si="13"/>
        <v>0</v>
      </c>
      <c r="O67" s="238">
        <f t="shared" si="14"/>
        <v>0</v>
      </c>
      <c r="P67" s="317"/>
      <c r="Q67" s="318"/>
      <c r="R67" s="318"/>
      <c r="S67" s="319"/>
      <c r="T67" s="328">
        <f>'Project Final Cost Tracking'!C66</f>
        <v>0</v>
      </c>
      <c r="U67" s="339">
        <f t="shared" si="9"/>
        <v>71763.878051084932</v>
      </c>
      <c r="V67" s="338">
        <f t="shared" si="15"/>
        <v>0.14205787756073385</v>
      </c>
      <c r="W67" s="339">
        <f t="shared" si="10"/>
        <v>1925874.7942809672</v>
      </c>
      <c r="X67" s="340">
        <f t="shared" si="16"/>
        <v>0</v>
      </c>
      <c r="Y67" s="237">
        <f t="shared" si="11"/>
        <v>460104.02</v>
      </c>
      <c r="Z67" s="253">
        <f t="shared" si="12"/>
        <v>8.1313697050950321E-3</v>
      </c>
      <c r="AA67" s="238">
        <f t="shared" si="17"/>
        <v>6554.9139861742406</v>
      </c>
      <c r="AB67" s="236">
        <f>ROUND($C67*Allocations!$B$16,2)</f>
        <v>412024.65</v>
      </c>
      <c r="AC67" s="239">
        <f>$C67*Allocations!$B$24</f>
        <v>0</v>
      </c>
      <c r="AD67" s="242">
        <f t="shared" si="18"/>
        <v>78318.789999999994</v>
      </c>
      <c r="AE67" s="153"/>
      <c r="AF67" s="141"/>
      <c r="AG67" s="151"/>
      <c r="AH67" s="146"/>
      <c r="AI67" s="145"/>
      <c r="AJ67" s="146"/>
      <c r="AK67" s="151"/>
      <c r="AL67" s="146"/>
      <c r="AM67" s="145"/>
      <c r="AN67" s="146"/>
      <c r="AO67" s="145"/>
      <c r="AP67" s="146"/>
      <c r="AQ67" s="145"/>
      <c r="AR67" s="146"/>
      <c r="AS67" s="145"/>
      <c r="AT67" s="146"/>
      <c r="AU67" s="145"/>
      <c r="AV67" s="146"/>
      <c r="AW67" s="148"/>
      <c r="AX67" s="141"/>
      <c r="AY67" s="145"/>
      <c r="AZ67" s="146"/>
      <c r="BA67" s="149"/>
      <c r="BB67" s="150"/>
      <c r="BC67" s="179"/>
      <c r="BD67" s="176"/>
    </row>
    <row r="68" spans="1:56" s="30" customFormat="1" ht="12.75">
      <c r="A68" s="97" t="s">
        <v>65</v>
      </c>
      <c r="B68" s="47">
        <v>64</v>
      </c>
      <c r="C68" s="245">
        <v>2.4386894376916705E-2</v>
      </c>
      <c r="D68" s="237">
        <v>1254121.3765483364</v>
      </c>
      <c r="E68" s="238">
        <v>258507.24064690998</v>
      </c>
      <c r="F68" s="597">
        <v>1360320.3815775551</v>
      </c>
      <c r="G68" s="238">
        <v>275187.93</v>
      </c>
      <c r="H68" s="427">
        <v>1410814.75</v>
      </c>
      <c r="I68" s="388">
        <f>$C68*Allocations!$B$16</f>
        <v>1403405.5601493397</v>
      </c>
      <c r="J68" s="235">
        <f t="shared" si="6"/>
        <v>5962357.2389221415</v>
      </c>
      <c r="K68" s="165">
        <f t="shared" si="7"/>
        <v>1490589.31</v>
      </c>
      <c r="L68" s="809">
        <v>2523469.64</v>
      </c>
      <c r="M68" s="425">
        <f t="shared" si="8"/>
        <v>3926875.2001493396</v>
      </c>
      <c r="N68" s="237">
        <f t="shared" si="13"/>
        <v>1129477.57</v>
      </c>
      <c r="O68" s="238">
        <f t="shared" si="14"/>
        <v>1129477.57</v>
      </c>
      <c r="P68" s="317"/>
      <c r="Q68" s="318"/>
      <c r="R68" s="318"/>
      <c r="S68" s="319"/>
      <c r="T68" s="328">
        <f>'Project Final Cost Tracking'!C67</f>
        <v>0</v>
      </c>
      <c r="U68" s="339">
        <f t="shared" si="9"/>
        <v>2797397.6301493393</v>
      </c>
      <c r="V68" s="338">
        <f t="shared" si="15"/>
        <v>1.8767058178817473</v>
      </c>
      <c r="W68" s="339">
        <f t="shared" si="10"/>
        <v>9112722.6508213691</v>
      </c>
      <c r="X68" s="340">
        <f t="shared" si="16"/>
        <v>0</v>
      </c>
      <c r="Y68" s="237">
        <f t="shared" si="11"/>
        <v>1410814.75</v>
      </c>
      <c r="Z68" s="253">
        <f t="shared" si="12"/>
        <v>2.4933179931032161E-2</v>
      </c>
      <c r="AA68" s="238">
        <f t="shared" si="17"/>
        <v>20099.30132033168</v>
      </c>
      <c r="AB68" s="236">
        <f>ROUND($C68*Allocations!$B$16,2)</f>
        <v>1403405.56</v>
      </c>
      <c r="AC68" s="239">
        <f>$C68*Allocations!$B$24</f>
        <v>0</v>
      </c>
      <c r="AD68" s="242">
        <f t="shared" si="18"/>
        <v>2817496.93</v>
      </c>
      <c r="AE68" s="153"/>
      <c r="AF68" s="141"/>
      <c r="AG68" s="151"/>
      <c r="AH68" s="146"/>
      <c r="AI68" s="145"/>
      <c r="AJ68" s="146"/>
      <c r="AK68" s="828">
        <f>Marshall!C8+Marshall!C9</f>
        <v>285273.82</v>
      </c>
      <c r="AL68" s="829">
        <f>Marshall!D8+Marshall!D9</f>
        <v>285273.82</v>
      </c>
      <c r="AM68" s="145"/>
      <c r="AN68" s="146"/>
      <c r="AO68" s="145">
        <f>Marshall!C10</f>
        <v>844203.75</v>
      </c>
      <c r="AP68" s="146">
        <f>Marshall!D10</f>
        <v>844203.75</v>
      </c>
      <c r="AQ68" s="145"/>
      <c r="AR68" s="146"/>
      <c r="AS68" s="145"/>
      <c r="AT68" s="146"/>
      <c r="AU68" s="145"/>
      <c r="AV68" s="146"/>
      <c r="AW68" s="148"/>
      <c r="AX68" s="141"/>
      <c r="AY68" s="145"/>
      <c r="AZ68" s="146"/>
      <c r="BA68" s="149"/>
      <c r="BB68" s="150"/>
      <c r="BC68" s="179"/>
      <c r="BD68" s="830" t="s">
        <v>852</v>
      </c>
    </row>
    <row r="69" spans="1:56" s="30" customFormat="1" ht="12.75">
      <c r="A69" s="98" t="s">
        <v>66</v>
      </c>
      <c r="B69" s="46">
        <v>65</v>
      </c>
      <c r="C69" s="246">
        <v>8.3072904024799714E-3</v>
      </c>
      <c r="D69" s="303">
        <v>472278.35915283539</v>
      </c>
      <c r="E69" s="341">
        <v>97348.931072258376</v>
      </c>
      <c r="F69" s="595">
        <v>462057.65419755381</v>
      </c>
      <c r="G69" s="341">
        <v>93472.6</v>
      </c>
      <c r="H69" s="428">
        <v>466088.35</v>
      </c>
      <c r="I69" s="389">
        <f>$C69*Allocations!$B$16</f>
        <v>478064.05196271866</v>
      </c>
      <c r="J69" s="385">
        <f t="shared" si="6"/>
        <v>2069309.9463853661</v>
      </c>
      <c r="K69" s="168">
        <f t="shared" si="7"/>
        <v>517327.49</v>
      </c>
      <c r="L69" s="810">
        <v>-64197.35</v>
      </c>
      <c r="M69" s="426">
        <f t="shared" si="8"/>
        <v>413866.70196271868</v>
      </c>
      <c r="N69" s="303">
        <f t="shared" ref="N69:N103" si="19">AE69+AG69+AI69+AK69+AM69+AO69+AQ69+AS69+AU69+AW69+AY69+BA69+BC69</f>
        <v>0</v>
      </c>
      <c r="O69" s="341">
        <f t="shared" ref="O69:O103" si="20">AF69+AH69+AJ69+AL69+AN69+AP69+AR69+AT69+AV69+AX69+AZ69+BB69+BC69</f>
        <v>0</v>
      </c>
      <c r="P69" s="342"/>
      <c r="Q69" s="343"/>
      <c r="R69" s="343"/>
      <c r="S69" s="344"/>
      <c r="T69" s="188">
        <f>'Project Final Cost Tracking'!C68</f>
        <v>0</v>
      </c>
      <c r="U69" s="346">
        <f t="shared" si="9"/>
        <v>413866.70196271868</v>
      </c>
      <c r="V69" s="345">
        <f t="shared" ref="V69:V103" si="21">$U69/$K69</f>
        <v>0.80000910441221418</v>
      </c>
      <c r="W69" s="346">
        <f t="shared" si="10"/>
        <v>2565154.9357949528</v>
      </c>
      <c r="X69" s="347">
        <f t="shared" ref="X69:X103" si="22">IF((($U69-$J69)-($Q69+$S69))&gt;0,(($U69-$J69)-($Q69+$S69)),0)</f>
        <v>0</v>
      </c>
      <c r="Y69" s="303">
        <f t="shared" si="11"/>
        <v>466088.35</v>
      </c>
      <c r="Z69" s="348">
        <f t="shared" si="12"/>
        <v>8.2371301365454907E-3</v>
      </c>
      <c r="AA69" s="341">
        <f t="shared" ref="AA69:AA103" si="23">IF($Z69&gt;0,$Z69*$X$104,0)</f>
        <v>6640.1702906396558</v>
      </c>
      <c r="AB69" s="231">
        <f>ROUND($C69*Allocations!$B$16,2)</f>
        <v>478064.05</v>
      </c>
      <c r="AC69" s="240">
        <f>$C69*Allocations!$B$24</f>
        <v>0</v>
      </c>
      <c r="AD69" s="244">
        <f t="shared" ref="AD69:AD103" si="24">ROUND($L69+$AB69+$AC69+$AA69-$O69-$T69-$X69,2)</f>
        <v>420506.87</v>
      </c>
      <c r="AE69" s="162"/>
      <c r="AF69" s="159"/>
      <c r="AG69" s="174"/>
      <c r="AH69" s="157"/>
      <c r="AI69" s="156"/>
      <c r="AJ69" s="157"/>
      <c r="AK69" s="174"/>
      <c r="AL69" s="157"/>
      <c r="AM69" s="156"/>
      <c r="AN69" s="157"/>
      <c r="AO69" s="156"/>
      <c r="AP69" s="157"/>
      <c r="AQ69" s="156"/>
      <c r="AR69" s="157"/>
      <c r="AS69" s="156"/>
      <c r="AT69" s="157"/>
      <c r="AU69" s="156"/>
      <c r="AV69" s="157"/>
      <c r="AW69" s="158"/>
      <c r="AX69" s="159"/>
      <c r="AY69" s="156"/>
      <c r="AZ69" s="157"/>
      <c r="BA69" s="160"/>
      <c r="BB69" s="161"/>
      <c r="BC69" s="180"/>
      <c r="BD69" s="176"/>
    </row>
    <row r="70" spans="1:56" s="30" customFormat="1" ht="12.75">
      <c r="A70" s="97" t="s">
        <v>67</v>
      </c>
      <c r="B70" s="47">
        <v>66</v>
      </c>
      <c r="C70" s="245">
        <v>5.2943357279886197E-3</v>
      </c>
      <c r="D70" s="237">
        <v>331723.70586479735</v>
      </c>
      <c r="E70" s="238">
        <v>68376.938200583216</v>
      </c>
      <c r="F70" s="597">
        <v>327085.26928077778</v>
      </c>
      <c r="G70" s="238">
        <v>66168.179999999993</v>
      </c>
      <c r="H70" s="427">
        <v>312477</v>
      </c>
      <c r="I70" s="388">
        <f>$C70*Allocations!$B$16</f>
        <v>304675.94943083264</v>
      </c>
      <c r="J70" s="235">
        <f t="shared" ref="J70:J103" si="25">SUM(D70:I70)</f>
        <v>1410507.0427769909</v>
      </c>
      <c r="K70" s="165">
        <f t="shared" ref="K70:K103" si="26">ROUND(AVERAGE((D70+E70),(F70+G70),H70,I70),2)</f>
        <v>352626.76</v>
      </c>
      <c r="L70" s="809">
        <v>-354703.63</v>
      </c>
      <c r="M70" s="425">
        <f t="shared" ref="M70:M103" si="27">$L70+$I70</f>
        <v>-50027.680569167365</v>
      </c>
      <c r="N70" s="237">
        <f t="shared" si="19"/>
        <v>498494.64</v>
      </c>
      <c r="O70" s="238">
        <f t="shared" si="20"/>
        <v>498494.64</v>
      </c>
      <c r="P70" s="317"/>
      <c r="Q70" s="318"/>
      <c r="R70" s="318"/>
      <c r="S70" s="319"/>
      <c r="T70" s="328">
        <f>'Project Final Cost Tracking'!C69</f>
        <v>120373.70000000019</v>
      </c>
      <c r="U70" s="339">
        <f t="shared" ref="U70:U103" si="28">$M70-$O70-$T70</f>
        <v>-668896.02056916757</v>
      </c>
      <c r="V70" s="338">
        <f t="shared" si="21"/>
        <v>-1.8968952344092307</v>
      </c>
      <c r="W70" s="339">
        <f t="shared" ref="W70:W103" si="29">(($I70)*4.5)+$U70</f>
        <v>702145.75186957931</v>
      </c>
      <c r="X70" s="340">
        <f t="shared" si="22"/>
        <v>0</v>
      </c>
      <c r="Y70" s="237">
        <f t="shared" ref="Y70:Y103" si="30">IF($X70&gt;0,0,($H70))</f>
        <v>312477</v>
      </c>
      <c r="Z70" s="253">
        <f t="shared" ref="Z70:Z103" si="31">IF($Y70&gt;0,$Y70/$Y$104,0)</f>
        <v>5.5223729871757693E-3</v>
      </c>
      <c r="AA70" s="238">
        <f t="shared" si="23"/>
        <v>4451.7321488687885</v>
      </c>
      <c r="AB70" s="236">
        <f>ROUND($C70*Allocations!$B$16,2)</f>
        <v>304675.95</v>
      </c>
      <c r="AC70" s="239">
        <f>$C70*Allocations!$B$24</f>
        <v>0</v>
      </c>
      <c r="AD70" s="242">
        <f t="shared" si="24"/>
        <v>-664444.29</v>
      </c>
      <c r="AE70" s="153"/>
      <c r="AF70" s="141"/>
      <c r="AG70" s="151"/>
      <c r="AH70" s="146"/>
      <c r="AI70" s="145"/>
      <c r="AJ70" s="146"/>
      <c r="AK70" s="151">
        <f>Mitchell!C8</f>
        <v>498494.64</v>
      </c>
      <c r="AL70" s="146">
        <f>Mitchell!D8</f>
        <v>498494.64</v>
      </c>
      <c r="AM70" s="145"/>
      <c r="AN70" s="146"/>
      <c r="AO70" s="145"/>
      <c r="AP70" s="146"/>
      <c r="AQ70" s="145"/>
      <c r="AR70" s="146"/>
      <c r="AS70" s="145"/>
      <c r="AT70" s="146"/>
      <c r="AU70" s="145"/>
      <c r="AV70" s="146"/>
      <c r="AW70" s="148"/>
      <c r="AX70" s="141"/>
      <c r="AY70" s="145"/>
      <c r="AZ70" s="146"/>
      <c r="BA70" s="149"/>
      <c r="BB70" s="150"/>
      <c r="BC70" s="179"/>
      <c r="BD70" s="176"/>
    </row>
    <row r="71" spans="1:56" s="30" customFormat="1" ht="12.75">
      <c r="A71" s="97" t="s">
        <v>68</v>
      </c>
      <c r="B71" s="47">
        <v>67</v>
      </c>
      <c r="C71" s="245">
        <v>1.5075841456400041E-2</v>
      </c>
      <c r="D71" s="237">
        <v>921029.95528017322</v>
      </c>
      <c r="E71" s="238">
        <v>189848.3805035819</v>
      </c>
      <c r="F71" s="597">
        <v>880117.06023567275</v>
      </c>
      <c r="G71" s="238">
        <v>178044.52</v>
      </c>
      <c r="H71" s="427">
        <v>842188.58</v>
      </c>
      <c r="I71" s="388">
        <f>$C71*Allocations!$B$16</f>
        <v>867577.45356326643</v>
      </c>
      <c r="J71" s="235">
        <f t="shared" si="25"/>
        <v>3878805.9495826946</v>
      </c>
      <c r="K71" s="165">
        <f t="shared" si="26"/>
        <v>969701.49</v>
      </c>
      <c r="L71" s="809">
        <v>496935.69</v>
      </c>
      <c r="M71" s="425">
        <f t="shared" si="27"/>
        <v>1364513.1435632664</v>
      </c>
      <c r="N71" s="237">
        <f t="shared" si="19"/>
        <v>0</v>
      </c>
      <c r="O71" s="238">
        <f t="shared" si="20"/>
        <v>0</v>
      </c>
      <c r="P71" s="317"/>
      <c r="Q71" s="318"/>
      <c r="R71" s="318"/>
      <c r="S71" s="319"/>
      <c r="T71" s="328">
        <f>'Project Final Cost Tracking'!C70</f>
        <v>0</v>
      </c>
      <c r="U71" s="339">
        <f t="shared" si="28"/>
        <v>1364513.1435632664</v>
      </c>
      <c r="V71" s="338">
        <f t="shared" si="21"/>
        <v>1.4071476197930421</v>
      </c>
      <c r="W71" s="339">
        <f t="shared" si="29"/>
        <v>5268611.6845979653</v>
      </c>
      <c r="X71" s="340">
        <f t="shared" si="22"/>
        <v>0</v>
      </c>
      <c r="Y71" s="237">
        <f t="shared" si="30"/>
        <v>842188.58</v>
      </c>
      <c r="Z71" s="253">
        <f t="shared" si="31"/>
        <v>1.4883909741516719E-2</v>
      </c>
      <c r="AA71" s="238">
        <f t="shared" si="23"/>
        <v>11998.316602489635</v>
      </c>
      <c r="AB71" s="236">
        <f>ROUND($C71*Allocations!$B$16,2)</f>
        <v>867577.45</v>
      </c>
      <c r="AC71" s="239">
        <f>$C71*Allocations!$B$24</f>
        <v>0</v>
      </c>
      <c r="AD71" s="242">
        <f t="shared" si="24"/>
        <v>1376511.46</v>
      </c>
      <c r="AE71" s="153"/>
      <c r="AF71" s="141"/>
      <c r="AG71" s="183"/>
      <c r="AH71" s="146"/>
      <c r="AI71" s="145"/>
      <c r="AJ71" s="165"/>
      <c r="AK71" s="151"/>
      <c r="AL71" s="146"/>
      <c r="AM71" s="145"/>
      <c r="AN71" s="146"/>
      <c r="AO71" s="145"/>
      <c r="AP71" s="146"/>
      <c r="AQ71" s="145"/>
      <c r="AR71" s="146"/>
      <c r="AS71" s="145"/>
      <c r="AT71" s="146"/>
      <c r="AU71" s="145"/>
      <c r="AV71" s="146"/>
      <c r="AW71" s="148"/>
      <c r="AX71" s="141"/>
      <c r="AY71" s="145"/>
      <c r="AZ71" s="146"/>
      <c r="BA71" s="149"/>
      <c r="BB71" s="150"/>
      <c r="BC71" s="179"/>
      <c r="BD71" s="176"/>
    </row>
    <row r="72" spans="1:56" s="30" customFormat="1" ht="12.75">
      <c r="A72" s="97" t="s">
        <v>69</v>
      </c>
      <c r="B72" s="47">
        <v>68</v>
      </c>
      <c r="C72" s="245">
        <v>7.1970636815234124E-3</v>
      </c>
      <c r="D72" s="237">
        <v>456329.2297904981</v>
      </c>
      <c r="E72" s="238">
        <v>94061.398063670422</v>
      </c>
      <c r="F72" s="597">
        <v>387488.9289647924</v>
      </c>
      <c r="G72" s="238">
        <v>78387.62</v>
      </c>
      <c r="H72" s="427">
        <v>366945.02</v>
      </c>
      <c r="I72" s="388">
        <f>$C72*Allocations!$B$16</f>
        <v>414173.24532144272</v>
      </c>
      <c r="J72" s="235">
        <f t="shared" si="25"/>
        <v>1797385.4421404037</v>
      </c>
      <c r="K72" s="165">
        <f t="shared" si="26"/>
        <v>449346.36</v>
      </c>
      <c r="L72" s="809">
        <v>2059727.77</v>
      </c>
      <c r="M72" s="425">
        <f t="shared" si="27"/>
        <v>2473901.0153214429</v>
      </c>
      <c r="N72" s="237">
        <f t="shared" si="19"/>
        <v>0</v>
      </c>
      <c r="O72" s="238">
        <f t="shared" si="20"/>
        <v>0</v>
      </c>
      <c r="P72" s="317"/>
      <c r="Q72" s="318"/>
      <c r="R72" s="318"/>
      <c r="S72" s="319"/>
      <c r="T72" s="328">
        <f>'Project Final Cost Tracking'!C71</f>
        <v>0</v>
      </c>
      <c r="U72" s="339">
        <f t="shared" si="28"/>
        <v>2473901.0153214429</v>
      </c>
      <c r="V72" s="338">
        <f t="shared" si="21"/>
        <v>5.5055548137108374</v>
      </c>
      <c r="W72" s="339">
        <f t="shared" si="29"/>
        <v>4337680.6192679349</v>
      </c>
      <c r="X72" s="340">
        <f t="shared" si="22"/>
        <v>676515.57318103919</v>
      </c>
      <c r="Y72" s="237">
        <f t="shared" si="30"/>
        <v>0</v>
      </c>
      <c r="Z72" s="253">
        <f t="shared" si="31"/>
        <v>0</v>
      </c>
      <c r="AA72" s="238">
        <f t="shared" si="23"/>
        <v>0</v>
      </c>
      <c r="AB72" s="236">
        <f>ROUND($C72*Allocations!$B$16,2)</f>
        <v>414173.25</v>
      </c>
      <c r="AC72" s="239">
        <f>$C72*Allocations!$B$24</f>
        <v>0</v>
      </c>
      <c r="AD72" s="242">
        <f t="shared" si="24"/>
        <v>1797385.45</v>
      </c>
      <c r="AE72" s="153"/>
      <c r="AF72" s="141"/>
      <c r="AG72" s="151"/>
      <c r="AH72" s="146"/>
      <c r="AI72" s="145"/>
      <c r="AJ72" s="146"/>
      <c r="AK72" s="151"/>
      <c r="AL72" s="146"/>
      <c r="AM72" s="145"/>
      <c r="AN72" s="146"/>
      <c r="AO72" s="145"/>
      <c r="AP72" s="146"/>
      <c r="AQ72" s="145"/>
      <c r="AR72" s="146"/>
      <c r="AS72" s="145"/>
      <c r="AT72" s="146"/>
      <c r="AU72" s="145"/>
      <c r="AV72" s="146"/>
      <c r="AW72" s="148"/>
      <c r="AX72" s="141"/>
      <c r="AY72" s="145"/>
      <c r="AZ72" s="146"/>
      <c r="BA72" s="149"/>
      <c r="BB72" s="150"/>
      <c r="BC72" s="179"/>
      <c r="BD72" s="176"/>
    </row>
    <row r="73" spans="1:56" s="30" customFormat="1" ht="12.75">
      <c r="A73" s="97" t="s">
        <v>70</v>
      </c>
      <c r="B73" s="47">
        <v>69</v>
      </c>
      <c r="C73" s="245">
        <v>9.4434471734349528E-3</v>
      </c>
      <c r="D73" s="237">
        <v>646744.99243989366</v>
      </c>
      <c r="E73" s="238">
        <v>133311.07062219811</v>
      </c>
      <c r="F73" s="597">
        <v>638971.72954721679</v>
      </c>
      <c r="G73" s="238">
        <v>129261.69</v>
      </c>
      <c r="H73" s="427">
        <v>571391.02</v>
      </c>
      <c r="I73" s="388">
        <f>$C73*Allocations!$B$16</f>
        <v>543447.06896011031</v>
      </c>
      <c r="J73" s="235">
        <f t="shared" si="25"/>
        <v>2663127.571569419</v>
      </c>
      <c r="K73" s="165">
        <f t="shared" si="26"/>
        <v>665781.89</v>
      </c>
      <c r="L73" s="809">
        <v>1596547.45</v>
      </c>
      <c r="M73" s="425">
        <f t="shared" si="27"/>
        <v>2139994.5189601104</v>
      </c>
      <c r="N73" s="237">
        <f t="shared" si="19"/>
        <v>0</v>
      </c>
      <c r="O73" s="238">
        <f t="shared" si="20"/>
        <v>0</v>
      </c>
      <c r="P73" s="317"/>
      <c r="Q73" s="318"/>
      <c r="R73" s="318"/>
      <c r="S73" s="319"/>
      <c r="T73" s="328">
        <f>'Project Final Cost Tracking'!C72</f>
        <v>0</v>
      </c>
      <c r="U73" s="339">
        <f t="shared" si="28"/>
        <v>2139994.5189601104</v>
      </c>
      <c r="V73" s="338">
        <f t="shared" si="21"/>
        <v>3.2142576286659139</v>
      </c>
      <c r="W73" s="339">
        <f t="shared" si="29"/>
        <v>4585506.3292806074</v>
      </c>
      <c r="X73" s="340">
        <f t="shared" si="22"/>
        <v>0</v>
      </c>
      <c r="Y73" s="237">
        <f t="shared" si="30"/>
        <v>571391.02</v>
      </c>
      <c r="Z73" s="253">
        <f t="shared" si="31"/>
        <v>1.0098133091276509E-2</v>
      </c>
      <c r="AA73" s="238">
        <f t="shared" si="23"/>
        <v>8140.3744061448642</v>
      </c>
      <c r="AB73" s="236">
        <f>ROUND($C73*Allocations!$B$16,2)</f>
        <v>543447.06999999995</v>
      </c>
      <c r="AC73" s="239">
        <f>$C73*Allocations!$B$24</f>
        <v>0</v>
      </c>
      <c r="AD73" s="242">
        <f t="shared" si="24"/>
        <v>2148134.89</v>
      </c>
      <c r="AE73" s="153"/>
      <c r="AF73" s="141"/>
      <c r="AG73" s="151"/>
      <c r="AH73" s="146"/>
      <c r="AI73" s="145"/>
      <c r="AJ73" s="146"/>
      <c r="AK73" s="151"/>
      <c r="AL73" s="146"/>
      <c r="AM73" s="145"/>
      <c r="AN73" s="146"/>
      <c r="AO73" s="145"/>
      <c r="AP73" s="146"/>
      <c r="AQ73" s="145"/>
      <c r="AR73" s="146"/>
      <c r="AS73" s="145"/>
      <c r="AT73" s="146"/>
      <c r="AU73" s="145"/>
      <c r="AV73" s="146"/>
      <c r="AW73" s="148"/>
      <c r="AX73" s="141"/>
      <c r="AY73" s="145"/>
      <c r="AZ73" s="146"/>
      <c r="BA73" s="149"/>
      <c r="BB73" s="150"/>
      <c r="BC73" s="179"/>
      <c r="BD73" s="176"/>
    </row>
    <row r="74" spans="1:56" s="30" customFormat="1" ht="12.75">
      <c r="A74" s="98" t="s">
        <v>71</v>
      </c>
      <c r="B74" s="46">
        <v>70</v>
      </c>
      <c r="C74" s="246">
        <v>1.3341625331220656E-2</v>
      </c>
      <c r="D74" s="303">
        <v>718620.1701970963</v>
      </c>
      <c r="E74" s="341">
        <v>148126.42599406667</v>
      </c>
      <c r="F74" s="595">
        <v>744136.78792099888</v>
      </c>
      <c r="G74" s="341">
        <v>150536.20000000001</v>
      </c>
      <c r="H74" s="428">
        <v>732429.73</v>
      </c>
      <c r="I74" s="389">
        <f>$C74*Allocations!$B$16</f>
        <v>767777.59733880602</v>
      </c>
      <c r="J74" s="385">
        <f t="shared" si="25"/>
        <v>3261626.9114509677</v>
      </c>
      <c r="K74" s="168">
        <f t="shared" si="26"/>
        <v>815406.73</v>
      </c>
      <c r="L74" s="810">
        <v>1964545.14</v>
      </c>
      <c r="M74" s="426">
        <f t="shared" si="27"/>
        <v>2732322.737338806</v>
      </c>
      <c r="N74" s="303">
        <f t="shared" si="19"/>
        <v>0</v>
      </c>
      <c r="O74" s="341">
        <f t="shared" si="20"/>
        <v>0</v>
      </c>
      <c r="P74" s="342"/>
      <c r="Q74" s="349"/>
      <c r="R74" s="343"/>
      <c r="S74" s="344"/>
      <c r="T74" s="188">
        <f>'Project Final Cost Tracking'!C73</f>
        <v>0</v>
      </c>
      <c r="U74" s="346">
        <f t="shared" si="28"/>
        <v>2732322.737338806</v>
      </c>
      <c r="V74" s="345">
        <f t="shared" si="21"/>
        <v>3.3508709663689018</v>
      </c>
      <c r="W74" s="346">
        <f t="shared" si="29"/>
        <v>6187321.9253634326</v>
      </c>
      <c r="X74" s="347">
        <f t="shared" si="22"/>
        <v>0</v>
      </c>
      <c r="Y74" s="303">
        <f t="shared" si="30"/>
        <v>732429.73</v>
      </c>
      <c r="Z74" s="348">
        <f t="shared" si="31"/>
        <v>1.2944153188735307E-2</v>
      </c>
      <c r="AA74" s="341">
        <f t="shared" si="23"/>
        <v>10434.627111205902</v>
      </c>
      <c r="AB74" s="231">
        <f>ROUND($C74*Allocations!$B$16,2)</f>
        <v>767777.6</v>
      </c>
      <c r="AC74" s="240">
        <f>$C74*Allocations!$B$24</f>
        <v>0</v>
      </c>
      <c r="AD74" s="244">
        <f t="shared" si="24"/>
        <v>2742757.37</v>
      </c>
      <c r="AE74" s="162"/>
      <c r="AF74" s="159"/>
      <c r="AG74" s="174"/>
      <c r="AH74" s="157"/>
      <c r="AI74" s="156"/>
      <c r="AJ74" s="157"/>
      <c r="AK74" s="174"/>
      <c r="AL74" s="157"/>
      <c r="AM74" s="156"/>
      <c r="AN74" s="157"/>
      <c r="AO74" s="156"/>
      <c r="AP74" s="157"/>
      <c r="AQ74" s="156"/>
      <c r="AR74" s="157"/>
      <c r="AS74" s="156"/>
      <c r="AT74" s="157"/>
      <c r="AU74" s="156"/>
      <c r="AV74" s="157"/>
      <c r="AW74" s="158"/>
      <c r="AX74" s="159"/>
      <c r="AY74" s="156"/>
      <c r="AZ74" s="157"/>
      <c r="BA74" s="160"/>
      <c r="BB74" s="161"/>
      <c r="BC74" s="180"/>
      <c r="BD74" s="176"/>
    </row>
    <row r="75" spans="1:56" s="30" customFormat="1" ht="12.75">
      <c r="A75" s="97" t="s">
        <v>72</v>
      </c>
      <c r="B75" s="47">
        <v>71</v>
      </c>
      <c r="C75" s="245">
        <v>4.363407692450012E-3</v>
      </c>
      <c r="D75" s="237">
        <v>209209.19226961888</v>
      </c>
      <c r="E75" s="238">
        <v>43123.490295999749</v>
      </c>
      <c r="F75" s="597">
        <v>219176.97523848983</v>
      </c>
      <c r="G75" s="238">
        <v>44338.71</v>
      </c>
      <c r="H75" s="427">
        <v>235094.64</v>
      </c>
      <c r="I75" s="388">
        <f>$C75*Allocations!$B$16</f>
        <v>251103.33944690553</v>
      </c>
      <c r="J75" s="235">
        <f t="shared" si="25"/>
        <v>1002046.3472510141</v>
      </c>
      <c r="K75" s="165">
        <f t="shared" si="26"/>
        <v>250511.59</v>
      </c>
      <c r="L75" s="809">
        <v>574786.14</v>
      </c>
      <c r="M75" s="425">
        <f t="shared" si="27"/>
        <v>825889.47944690555</v>
      </c>
      <c r="N75" s="237">
        <f t="shared" si="19"/>
        <v>0</v>
      </c>
      <c r="O75" s="238">
        <f t="shared" si="20"/>
        <v>0</v>
      </c>
      <c r="P75" s="317"/>
      <c r="Q75" s="318"/>
      <c r="R75" s="318"/>
      <c r="S75" s="319"/>
      <c r="T75" s="328">
        <f>'Project Final Cost Tracking'!C74</f>
        <v>0</v>
      </c>
      <c r="U75" s="339">
        <f t="shared" si="28"/>
        <v>825889.47944690555</v>
      </c>
      <c r="V75" s="338">
        <f t="shared" si="21"/>
        <v>3.296811454699184</v>
      </c>
      <c r="W75" s="339">
        <f t="shared" si="29"/>
        <v>1955854.5069579803</v>
      </c>
      <c r="X75" s="340">
        <f t="shared" si="22"/>
        <v>0</v>
      </c>
      <c r="Y75" s="237">
        <f t="shared" si="30"/>
        <v>235094.64</v>
      </c>
      <c r="Z75" s="253">
        <f t="shared" si="31"/>
        <v>4.1548027194507507E-3</v>
      </c>
      <c r="AA75" s="238">
        <f t="shared" si="23"/>
        <v>3349.2972824071348</v>
      </c>
      <c r="AB75" s="236">
        <f>ROUND($C75*Allocations!$B$16,2)</f>
        <v>251103.34</v>
      </c>
      <c r="AC75" s="239">
        <f>$C75*Allocations!$B$24</f>
        <v>0</v>
      </c>
      <c r="AD75" s="242">
        <f t="shared" si="24"/>
        <v>829238.78</v>
      </c>
      <c r="AE75" s="153"/>
      <c r="AF75" s="141"/>
      <c r="AG75" s="151"/>
      <c r="AH75" s="146"/>
      <c r="AI75" s="145"/>
      <c r="AJ75" s="146"/>
      <c r="AK75" s="151"/>
      <c r="AL75" s="146"/>
      <c r="AM75" s="145"/>
      <c r="AN75" s="146"/>
      <c r="AO75" s="145"/>
      <c r="AP75" s="146"/>
      <c r="AQ75" s="145"/>
      <c r="AR75" s="146"/>
      <c r="AS75" s="145"/>
      <c r="AT75" s="146"/>
      <c r="AU75" s="145"/>
      <c r="AV75" s="146"/>
      <c r="AW75" s="148"/>
      <c r="AX75" s="141"/>
      <c r="AY75" s="145"/>
      <c r="AZ75" s="146"/>
      <c r="BA75" s="149"/>
      <c r="BB75" s="150"/>
      <c r="BC75" s="179"/>
      <c r="BD75" s="176"/>
    </row>
    <row r="76" spans="1:56" s="30" customFormat="1" ht="12.75">
      <c r="A76" s="97" t="s">
        <v>73</v>
      </c>
      <c r="B76" s="47">
        <v>72</v>
      </c>
      <c r="C76" s="245">
        <v>4.2589523049168208E-3</v>
      </c>
      <c r="D76" s="237">
        <v>228960.14489440253</v>
      </c>
      <c r="E76" s="238">
        <v>47194.678586588518</v>
      </c>
      <c r="F76" s="597">
        <v>216308.91920023636</v>
      </c>
      <c r="G76" s="238">
        <v>43758.52</v>
      </c>
      <c r="H76" s="427">
        <v>247920.6</v>
      </c>
      <c r="I76" s="388">
        <f>$C76*Allocations!$B$16</f>
        <v>245092.18979472219</v>
      </c>
      <c r="J76" s="235">
        <f t="shared" si="25"/>
        <v>1029235.0524759495</v>
      </c>
      <c r="K76" s="165">
        <f t="shared" si="26"/>
        <v>257308.76</v>
      </c>
      <c r="L76" s="809">
        <v>-156416.01999999999</v>
      </c>
      <c r="M76" s="425">
        <f t="shared" si="27"/>
        <v>88676.169794722198</v>
      </c>
      <c r="N76" s="237">
        <f t="shared" si="19"/>
        <v>0</v>
      </c>
      <c r="O76" s="238">
        <f t="shared" si="20"/>
        <v>0</v>
      </c>
      <c r="P76" s="317"/>
      <c r="Q76" s="318"/>
      <c r="R76" s="318"/>
      <c r="S76" s="319"/>
      <c r="T76" s="328">
        <f>'Project Final Cost Tracking'!C75</f>
        <v>0</v>
      </c>
      <c r="U76" s="339">
        <f t="shared" si="28"/>
        <v>88676.169794722198</v>
      </c>
      <c r="V76" s="338">
        <f t="shared" si="21"/>
        <v>0.34462942417787173</v>
      </c>
      <c r="W76" s="339">
        <f t="shared" si="29"/>
        <v>1191591.023870972</v>
      </c>
      <c r="X76" s="340">
        <f t="shared" si="22"/>
        <v>0</v>
      </c>
      <c r="Y76" s="237">
        <f t="shared" si="30"/>
        <v>247920.6</v>
      </c>
      <c r="Z76" s="253">
        <f t="shared" si="31"/>
        <v>4.3814745546213296E-3</v>
      </c>
      <c r="AA76" s="238">
        <f t="shared" si="23"/>
        <v>3532.0234941670569</v>
      </c>
      <c r="AB76" s="236">
        <f>ROUND($C76*Allocations!$B$16,2)</f>
        <v>245092.19</v>
      </c>
      <c r="AC76" s="239">
        <f>$C76*Allocations!$B$24</f>
        <v>0</v>
      </c>
      <c r="AD76" s="242">
        <f t="shared" si="24"/>
        <v>92208.19</v>
      </c>
      <c r="AE76" s="153"/>
      <c r="AF76" s="141"/>
      <c r="AG76" s="151"/>
      <c r="AH76" s="146"/>
      <c r="AI76" s="145"/>
      <c r="AJ76" s="146"/>
      <c r="AK76" s="151"/>
      <c r="AL76" s="146"/>
      <c r="AM76" s="145"/>
      <c r="AN76" s="146"/>
      <c r="AO76" s="145"/>
      <c r="AP76" s="146"/>
      <c r="AQ76" s="145"/>
      <c r="AR76" s="146"/>
      <c r="AS76" s="145"/>
      <c r="AT76" s="146"/>
      <c r="AU76" s="145"/>
      <c r="AV76" s="146"/>
      <c r="AW76" s="148"/>
      <c r="AX76" s="141"/>
      <c r="AY76" s="145"/>
      <c r="AZ76" s="146"/>
      <c r="BA76" s="149"/>
      <c r="BB76" s="150"/>
      <c r="BC76" s="179"/>
      <c r="BD76" s="176"/>
    </row>
    <row r="77" spans="1:56" s="30" customFormat="1" ht="12.75">
      <c r="A77" s="97" t="s">
        <v>74</v>
      </c>
      <c r="B77" s="47">
        <v>73</v>
      </c>
      <c r="C77" s="245">
        <v>1.4062373893819211E-2</v>
      </c>
      <c r="D77" s="237">
        <v>745719.61315458594</v>
      </c>
      <c r="E77" s="238">
        <v>153712.33047907724</v>
      </c>
      <c r="F77" s="597">
        <v>698977.05386419536</v>
      </c>
      <c r="G77" s="238">
        <v>141400.54999999999</v>
      </c>
      <c r="H77" s="427">
        <v>838934.89</v>
      </c>
      <c r="I77" s="388">
        <f>$C77*Allocations!$B$16</f>
        <v>809254.89758815174</v>
      </c>
      <c r="J77" s="235">
        <f t="shared" si="25"/>
        <v>3387999.3350860104</v>
      </c>
      <c r="K77" s="165">
        <f t="shared" si="26"/>
        <v>846999.83</v>
      </c>
      <c r="L77" s="809">
        <v>-2219295.66</v>
      </c>
      <c r="M77" s="425">
        <f t="shared" si="27"/>
        <v>-1410040.7624118484</v>
      </c>
      <c r="N77" s="237">
        <f t="shared" si="19"/>
        <v>0</v>
      </c>
      <c r="O77" s="238">
        <f t="shared" si="20"/>
        <v>0</v>
      </c>
      <c r="P77" s="317"/>
      <c r="Q77" s="318"/>
      <c r="R77" s="318"/>
      <c r="S77" s="319"/>
      <c r="T77" s="328">
        <f>'Project Final Cost Tracking'!C76</f>
        <v>83618.249999999825</v>
      </c>
      <c r="U77" s="339">
        <f t="shared" si="28"/>
        <v>-1493659.0124118482</v>
      </c>
      <c r="V77" s="338">
        <f t="shared" si="21"/>
        <v>-1.7634702623397791</v>
      </c>
      <c r="W77" s="339">
        <f t="shared" si="29"/>
        <v>2147988.0267348345</v>
      </c>
      <c r="X77" s="340">
        <f t="shared" si="22"/>
        <v>0</v>
      </c>
      <c r="Y77" s="237">
        <f t="shared" si="30"/>
        <v>838934.89</v>
      </c>
      <c r="Z77" s="253">
        <f t="shared" si="31"/>
        <v>1.4826407622113871E-2</v>
      </c>
      <c r="AA77" s="238">
        <f t="shared" si="23"/>
        <v>11951.962610434372</v>
      </c>
      <c r="AB77" s="236">
        <f>ROUND($C77*Allocations!$B$16,2)</f>
        <v>809254.9</v>
      </c>
      <c r="AC77" s="239">
        <f>$C77*Allocations!$B$24</f>
        <v>0</v>
      </c>
      <c r="AD77" s="242">
        <f t="shared" si="24"/>
        <v>-1481707.05</v>
      </c>
      <c r="AE77" s="153"/>
      <c r="AF77" s="141"/>
      <c r="AG77" s="151"/>
      <c r="AH77" s="146"/>
      <c r="AI77" s="145"/>
      <c r="AJ77" s="146"/>
      <c r="AK77" s="151"/>
      <c r="AL77" s="146"/>
      <c r="AM77" s="145"/>
      <c r="AN77" s="146"/>
      <c r="AO77" s="145"/>
      <c r="AP77" s="146"/>
      <c r="AQ77" s="145"/>
      <c r="AR77" s="146"/>
      <c r="AS77" s="145"/>
      <c r="AT77" s="146"/>
      <c r="AU77" s="145"/>
      <c r="AV77" s="146"/>
      <c r="AW77" s="148"/>
      <c r="AX77" s="141"/>
      <c r="AY77" s="145"/>
      <c r="AZ77" s="146"/>
      <c r="BA77" s="149"/>
      <c r="BB77" s="150"/>
      <c r="BC77" s="179"/>
      <c r="BD77" s="176"/>
    </row>
    <row r="78" spans="1:56" s="30" customFormat="1" ht="12.75">
      <c r="A78" s="97" t="s">
        <v>75</v>
      </c>
      <c r="B78" s="47">
        <v>74</v>
      </c>
      <c r="C78" s="245">
        <v>4.8152818180904776E-3</v>
      </c>
      <c r="D78" s="237">
        <v>279425.17511827836</v>
      </c>
      <c r="E78" s="238">
        <v>57596.842170022384</v>
      </c>
      <c r="F78" s="597">
        <v>276364.84386294242</v>
      </c>
      <c r="G78" s="238">
        <v>55907.62</v>
      </c>
      <c r="H78" s="427">
        <v>278148.25</v>
      </c>
      <c r="I78" s="388">
        <f>$C78*Allocations!$B$16</f>
        <v>277107.57970029814</v>
      </c>
      <c r="J78" s="235">
        <f t="shared" si="25"/>
        <v>1224550.3108515413</v>
      </c>
      <c r="K78" s="165">
        <f t="shared" si="26"/>
        <v>306137.58</v>
      </c>
      <c r="L78" s="809">
        <v>409493.84</v>
      </c>
      <c r="M78" s="425">
        <f t="shared" si="27"/>
        <v>686601.41970029823</v>
      </c>
      <c r="N78" s="237">
        <f t="shared" si="19"/>
        <v>0</v>
      </c>
      <c r="O78" s="238">
        <f t="shared" si="20"/>
        <v>0</v>
      </c>
      <c r="P78" s="317"/>
      <c r="Q78" s="318"/>
      <c r="R78" s="318"/>
      <c r="S78" s="319"/>
      <c r="T78" s="328">
        <f>'Project Final Cost Tracking'!C77</f>
        <v>0</v>
      </c>
      <c r="U78" s="339">
        <f t="shared" si="28"/>
        <v>686601.41970029823</v>
      </c>
      <c r="V78" s="338">
        <f t="shared" si="21"/>
        <v>2.2427871145394764</v>
      </c>
      <c r="W78" s="339">
        <f t="shared" si="29"/>
        <v>1933585.5283516399</v>
      </c>
      <c r="X78" s="340">
        <f t="shared" si="22"/>
        <v>0</v>
      </c>
      <c r="Y78" s="237">
        <f t="shared" si="30"/>
        <v>278148.25</v>
      </c>
      <c r="Z78" s="253">
        <f t="shared" si="31"/>
        <v>4.9156846175245307E-3</v>
      </c>
      <c r="AA78" s="238">
        <f t="shared" si="23"/>
        <v>3962.664473470345</v>
      </c>
      <c r="AB78" s="236">
        <f>ROUND($C78*Allocations!$B$16,2)</f>
        <v>277107.58</v>
      </c>
      <c r="AC78" s="239">
        <f>$C78*Allocations!$B$24</f>
        <v>0</v>
      </c>
      <c r="AD78" s="242">
        <f t="shared" si="24"/>
        <v>690564.08</v>
      </c>
      <c r="AE78" s="153"/>
      <c r="AF78" s="141"/>
      <c r="AG78" s="151"/>
      <c r="AH78" s="146"/>
      <c r="AI78" s="145"/>
      <c r="AJ78" s="146"/>
      <c r="AK78" s="151"/>
      <c r="AL78" s="146"/>
      <c r="AM78" s="145"/>
      <c r="AN78" s="146"/>
      <c r="AO78" s="145"/>
      <c r="AP78" s="146"/>
      <c r="AQ78" s="145"/>
      <c r="AR78" s="146"/>
      <c r="AS78" s="145"/>
      <c r="AT78" s="146"/>
      <c r="AU78" s="145"/>
      <c r="AV78" s="146"/>
      <c r="AW78" s="148"/>
      <c r="AX78" s="141"/>
      <c r="AY78" s="145"/>
      <c r="AZ78" s="146"/>
      <c r="BA78" s="149"/>
      <c r="BB78" s="150"/>
      <c r="BC78" s="179"/>
      <c r="BD78" s="176"/>
    </row>
    <row r="79" spans="1:56" s="30" customFormat="1" ht="12.75">
      <c r="A79" s="98" t="s">
        <v>76</v>
      </c>
      <c r="B79" s="46">
        <v>75</v>
      </c>
      <c r="C79" s="246">
        <v>1.2583276669822629E-2</v>
      </c>
      <c r="D79" s="303">
        <v>742605.74853986653</v>
      </c>
      <c r="E79" s="341">
        <v>153070.4814807653</v>
      </c>
      <c r="F79" s="595">
        <v>703838.2819523582</v>
      </c>
      <c r="G79" s="341">
        <v>142383.96</v>
      </c>
      <c r="H79" s="428">
        <v>761415.99</v>
      </c>
      <c r="I79" s="389">
        <f>$C79*Allocations!$B$16</f>
        <v>724136.50423819455</v>
      </c>
      <c r="J79" s="385">
        <f t="shared" si="25"/>
        <v>3227450.9662111849</v>
      </c>
      <c r="K79" s="168">
        <f t="shared" si="26"/>
        <v>806862.74</v>
      </c>
      <c r="L79" s="810">
        <v>2217943.09</v>
      </c>
      <c r="M79" s="426">
        <f t="shared" si="27"/>
        <v>2942079.5942381946</v>
      </c>
      <c r="N79" s="303">
        <f t="shared" si="19"/>
        <v>693184</v>
      </c>
      <c r="O79" s="341">
        <f t="shared" si="20"/>
        <v>691184</v>
      </c>
      <c r="P79" s="342"/>
      <c r="Q79" s="343"/>
      <c r="R79" s="343"/>
      <c r="S79" s="344"/>
      <c r="T79" s="188">
        <f>'Project Final Cost Tracking'!C78</f>
        <v>0</v>
      </c>
      <c r="U79" s="346">
        <f t="shared" si="28"/>
        <v>2250895.5942381946</v>
      </c>
      <c r="V79" s="345">
        <f t="shared" si="21"/>
        <v>2.7896883604244689</v>
      </c>
      <c r="W79" s="346">
        <f t="shared" si="29"/>
        <v>5509509.8633100707</v>
      </c>
      <c r="X79" s="347">
        <f t="shared" si="22"/>
        <v>0</v>
      </c>
      <c r="Y79" s="303">
        <f t="shared" si="30"/>
        <v>761415.99</v>
      </c>
      <c r="Z79" s="348">
        <f t="shared" si="31"/>
        <v>1.3456424297403315E-2</v>
      </c>
      <c r="AA79" s="341">
        <f t="shared" si="23"/>
        <v>10847.582514379477</v>
      </c>
      <c r="AB79" s="231">
        <f>ROUND($C79*Allocations!$B$16,2)</f>
        <v>724136.5</v>
      </c>
      <c r="AC79" s="240">
        <f>$C79*Allocations!$B$24</f>
        <v>0</v>
      </c>
      <c r="AD79" s="244">
        <f t="shared" si="24"/>
        <v>2261743.17</v>
      </c>
      <c r="AE79" s="162">
        <f>Plymouth!C6</f>
        <v>693184</v>
      </c>
      <c r="AF79" s="159">
        <f>Plymouth!D6</f>
        <v>691184</v>
      </c>
      <c r="AG79" s="174"/>
      <c r="AH79" s="157"/>
      <c r="AI79" s="156"/>
      <c r="AJ79" s="157"/>
      <c r="AK79" s="174"/>
      <c r="AL79" s="157"/>
      <c r="AM79" s="156"/>
      <c r="AN79" s="184"/>
      <c r="AO79" s="156"/>
      <c r="AP79" s="157"/>
      <c r="AQ79" s="156"/>
      <c r="AR79" s="157"/>
      <c r="AS79" s="156"/>
      <c r="AT79" s="157"/>
      <c r="AU79" s="156"/>
      <c r="AV79" s="157"/>
      <c r="AW79" s="158"/>
      <c r="AX79" s="159"/>
      <c r="AY79" s="156"/>
      <c r="AZ79" s="157"/>
      <c r="BA79" s="160"/>
      <c r="BB79" s="161"/>
      <c r="BC79" s="180"/>
      <c r="BD79" s="176"/>
    </row>
    <row r="80" spans="1:56" s="30" customFormat="1" ht="12.75">
      <c r="A80" s="97" t="s">
        <v>77</v>
      </c>
      <c r="B80" s="47">
        <v>76</v>
      </c>
      <c r="C80" s="245">
        <v>8.3199977917812855E-3</v>
      </c>
      <c r="D80" s="237">
        <v>428828.6268010402</v>
      </c>
      <c r="E80" s="238">
        <v>88392.80399624689</v>
      </c>
      <c r="F80" s="597">
        <v>495134.36901488231</v>
      </c>
      <c r="G80" s="238">
        <v>100163.9</v>
      </c>
      <c r="H80" s="427">
        <v>492288.09</v>
      </c>
      <c r="I80" s="388">
        <f>$C80*Allocations!$B$16</f>
        <v>478795.33084246505</v>
      </c>
      <c r="J80" s="235">
        <f t="shared" si="25"/>
        <v>2083603.1206546347</v>
      </c>
      <c r="K80" s="165">
        <f t="shared" si="26"/>
        <v>520900.78</v>
      </c>
      <c r="L80" s="809">
        <v>1144140.3</v>
      </c>
      <c r="M80" s="425">
        <f t="shared" si="27"/>
        <v>1622935.630842465</v>
      </c>
      <c r="N80" s="237">
        <f t="shared" si="19"/>
        <v>1243094.25</v>
      </c>
      <c r="O80" s="238">
        <f t="shared" si="20"/>
        <v>0</v>
      </c>
      <c r="P80" s="317"/>
      <c r="Q80" s="318"/>
      <c r="R80" s="318"/>
      <c r="S80" s="319"/>
      <c r="T80" s="328">
        <f>'Project Final Cost Tracking'!C79</f>
        <v>0</v>
      </c>
      <c r="U80" s="339">
        <f t="shared" si="28"/>
        <v>1622935.630842465</v>
      </c>
      <c r="V80" s="338">
        <f t="shared" si="21"/>
        <v>3.115632944228774</v>
      </c>
      <c r="W80" s="339">
        <f t="shared" si="29"/>
        <v>3777514.6196335577</v>
      </c>
      <c r="X80" s="340">
        <f t="shared" si="22"/>
        <v>0</v>
      </c>
      <c r="Y80" s="237">
        <f t="shared" si="30"/>
        <v>492288.09</v>
      </c>
      <c r="Z80" s="253">
        <f t="shared" si="31"/>
        <v>8.7001553718333013E-3</v>
      </c>
      <c r="AA80" s="238">
        <f t="shared" si="23"/>
        <v>7013.4272818742238</v>
      </c>
      <c r="AB80" s="236">
        <f>ROUND($C80*Allocations!$B$16,2)</f>
        <v>478795.33</v>
      </c>
      <c r="AC80" s="239">
        <f>$C80*Allocations!$B$24</f>
        <v>0</v>
      </c>
      <c r="AD80" s="242">
        <f t="shared" si="24"/>
        <v>1629949.06</v>
      </c>
      <c r="AE80" s="153"/>
      <c r="AF80" s="141"/>
      <c r="AG80" s="151"/>
      <c r="AH80" s="146"/>
      <c r="AI80" s="145"/>
      <c r="AJ80" s="146"/>
      <c r="AK80" s="151"/>
      <c r="AL80" s="146"/>
      <c r="AM80" s="185"/>
      <c r="AN80" s="186"/>
      <c r="AO80" s="145"/>
      <c r="AP80" s="146"/>
      <c r="AQ80" s="145"/>
      <c r="AR80" s="146"/>
      <c r="AS80" s="145">
        <f>Pocahontas!C8</f>
        <v>1243094.25</v>
      </c>
      <c r="AT80" s="146">
        <f>Pocahontas!D8</f>
        <v>0</v>
      </c>
      <c r="AU80" s="145"/>
      <c r="AV80" s="146"/>
      <c r="AW80" s="148"/>
      <c r="AX80" s="141"/>
      <c r="AY80" s="145"/>
      <c r="AZ80" s="146"/>
      <c r="BA80" s="149"/>
      <c r="BB80" s="150"/>
      <c r="BC80" s="179"/>
      <c r="BD80" s="176"/>
    </row>
    <row r="81" spans="1:56" s="30" customFormat="1" ht="12.75">
      <c r="A81" s="97" t="s">
        <v>78</v>
      </c>
      <c r="B81" s="47">
        <v>77</v>
      </c>
      <c r="C81" s="245">
        <v>9.8802238276290803E-3</v>
      </c>
      <c r="D81" s="237">
        <v>535954.00225595525</v>
      </c>
      <c r="E81" s="238">
        <v>110474.14774012892</v>
      </c>
      <c r="F81" s="597">
        <v>569579.75456708448</v>
      </c>
      <c r="G81" s="238">
        <v>115223.94</v>
      </c>
      <c r="H81" s="427">
        <v>568797.78</v>
      </c>
      <c r="I81" s="388">
        <f>$C81*Allocations!$B$16</f>
        <v>568582.48700742319</v>
      </c>
      <c r="J81" s="235">
        <f t="shared" si="25"/>
        <v>2468612.1115705916</v>
      </c>
      <c r="K81" s="165">
        <f t="shared" si="26"/>
        <v>617153.03</v>
      </c>
      <c r="L81" s="809">
        <v>756218.65</v>
      </c>
      <c r="M81" s="425">
        <f t="shared" si="27"/>
        <v>1324801.1370074232</v>
      </c>
      <c r="N81" s="237">
        <f t="shared" si="19"/>
        <v>0</v>
      </c>
      <c r="O81" s="238">
        <f t="shared" si="20"/>
        <v>0</v>
      </c>
      <c r="P81" s="317"/>
      <c r="Q81" s="318"/>
      <c r="R81" s="318"/>
      <c r="S81" s="319"/>
      <c r="T81" s="328">
        <f>'Project Final Cost Tracking'!C80</f>
        <v>0</v>
      </c>
      <c r="U81" s="339">
        <f t="shared" si="28"/>
        <v>1324801.1370074232</v>
      </c>
      <c r="V81" s="338">
        <f t="shared" si="21"/>
        <v>2.146633124376661</v>
      </c>
      <c r="W81" s="339">
        <f t="shared" si="29"/>
        <v>3883422.3285408276</v>
      </c>
      <c r="X81" s="340">
        <f t="shared" si="22"/>
        <v>0</v>
      </c>
      <c r="Y81" s="237">
        <f t="shared" si="30"/>
        <v>568797.78</v>
      </c>
      <c r="Z81" s="253">
        <f t="shared" si="31"/>
        <v>1.0052303034903518E-2</v>
      </c>
      <c r="AA81" s="238">
        <f t="shared" si="23"/>
        <v>8103.4295753965789</v>
      </c>
      <c r="AB81" s="236">
        <f>ROUND($C81*Allocations!$B$16,2)</f>
        <v>568582.49</v>
      </c>
      <c r="AC81" s="239">
        <f>$C81*Allocations!$B$24</f>
        <v>0</v>
      </c>
      <c r="AD81" s="242">
        <f t="shared" si="24"/>
        <v>1332904.57</v>
      </c>
      <c r="AE81" s="153"/>
      <c r="AF81" s="141"/>
      <c r="AG81" s="151"/>
      <c r="AH81" s="146"/>
      <c r="AI81" s="145"/>
      <c r="AJ81" s="146"/>
      <c r="AK81" s="151"/>
      <c r="AL81" s="146"/>
      <c r="AM81" s="145"/>
      <c r="AN81" s="146"/>
      <c r="AO81" s="145"/>
      <c r="AP81" s="146"/>
      <c r="AQ81" s="145"/>
      <c r="AR81" s="146"/>
      <c r="AS81" s="145"/>
      <c r="AT81" s="146"/>
      <c r="AU81" s="145"/>
      <c r="AV81" s="146"/>
      <c r="AW81" s="148"/>
      <c r="AX81" s="141"/>
      <c r="AY81" s="145"/>
      <c r="AZ81" s="146"/>
      <c r="BA81" s="149"/>
      <c r="BB81" s="150"/>
      <c r="BC81" s="179"/>
      <c r="BD81" s="176"/>
    </row>
    <row r="82" spans="1:56" s="30" customFormat="1" ht="12.75">
      <c r="A82" s="97" t="s">
        <v>79</v>
      </c>
      <c r="B82" s="47">
        <v>78</v>
      </c>
      <c r="C82" s="245">
        <v>1.172383080676747E-2</v>
      </c>
      <c r="D82" s="237">
        <v>734012.59514798597</v>
      </c>
      <c r="E82" s="238">
        <v>151299.20765246605</v>
      </c>
      <c r="F82" s="597">
        <v>714986.31006699894</v>
      </c>
      <c r="G82" s="238">
        <v>144639.16</v>
      </c>
      <c r="H82" s="427">
        <v>683284.09</v>
      </c>
      <c r="I82" s="388">
        <f>$C82*Allocations!$B$16</f>
        <v>674677.51679120597</v>
      </c>
      <c r="J82" s="235">
        <f t="shared" si="25"/>
        <v>3102898.8796586567</v>
      </c>
      <c r="K82" s="165">
        <f t="shared" si="26"/>
        <v>775724.72</v>
      </c>
      <c r="L82" s="809">
        <v>403401.59</v>
      </c>
      <c r="M82" s="425">
        <f t="shared" si="27"/>
        <v>1078079.1067912059</v>
      </c>
      <c r="N82" s="237">
        <f t="shared" si="19"/>
        <v>0</v>
      </c>
      <c r="O82" s="238">
        <f t="shared" si="20"/>
        <v>0</v>
      </c>
      <c r="P82" s="317"/>
      <c r="Q82" s="318"/>
      <c r="R82" s="318"/>
      <c r="S82" s="319"/>
      <c r="T82" s="328">
        <f>'Project Final Cost Tracking'!C81</f>
        <v>0</v>
      </c>
      <c r="U82" s="339">
        <f t="shared" si="28"/>
        <v>1078079.1067912059</v>
      </c>
      <c r="V82" s="338">
        <f t="shared" si="21"/>
        <v>1.389770209709452</v>
      </c>
      <c r="W82" s="339">
        <f t="shared" si="29"/>
        <v>4114127.932351633</v>
      </c>
      <c r="X82" s="340">
        <f t="shared" si="22"/>
        <v>0</v>
      </c>
      <c r="Y82" s="237">
        <f t="shared" si="30"/>
        <v>683284.09</v>
      </c>
      <c r="Z82" s="253">
        <f t="shared" si="31"/>
        <v>1.2075607488496681E-2</v>
      </c>
      <c r="AA82" s="238">
        <f t="shared" si="23"/>
        <v>9734.4692577807473</v>
      </c>
      <c r="AB82" s="236">
        <f>ROUND($C82*Allocations!$B$16,2)</f>
        <v>674677.52</v>
      </c>
      <c r="AC82" s="239">
        <f>$C82*Allocations!$B$24</f>
        <v>0</v>
      </c>
      <c r="AD82" s="242">
        <f t="shared" si="24"/>
        <v>1087813.58</v>
      </c>
      <c r="AE82" s="153"/>
      <c r="AF82" s="141"/>
      <c r="AG82" s="151"/>
      <c r="AH82" s="146"/>
      <c r="AI82" s="145"/>
      <c r="AJ82" s="146"/>
      <c r="AK82" s="151"/>
      <c r="AL82" s="146"/>
      <c r="AM82" s="145"/>
      <c r="AN82" s="146"/>
      <c r="AO82" s="145"/>
      <c r="AP82" s="146"/>
      <c r="AQ82" s="145"/>
      <c r="AR82" s="146"/>
      <c r="AS82" s="145"/>
      <c r="AT82" s="146"/>
      <c r="AU82" s="145"/>
      <c r="AV82" s="146"/>
      <c r="AW82" s="148"/>
      <c r="AX82" s="141"/>
      <c r="AY82" s="145"/>
      <c r="AZ82" s="146"/>
      <c r="BA82" s="149"/>
      <c r="BB82" s="150"/>
      <c r="BC82" s="179"/>
      <c r="BD82" s="176"/>
    </row>
    <row r="83" spans="1:56" s="30" customFormat="1" ht="12.75">
      <c r="A83" s="97" t="s">
        <v>80</v>
      </c>
      <c r="B83" s="47">
        <v>79</v>
      </c>
      <c r="C83" s="245">
        <v>1.5361033797050555E-2</v>
      </c>
      <c r="D83" s="237">
        <v>858492.85136309115</v>
      </c>
      <c r="E83" s="238">
        <v>176957.84656168564</v>
      </c>
      <c r="F83" s="597">
        <v>893939.8250660518</v>
      </c>
      <c r="G83" s="238">
        <v>180840.82</v>
      </c>
      <c r="H83" s="427">
        <v>930167.51</v>
      </c>
      <c r="I83" s="388">
        <f>$C83*Allocations!$B$16</f>
        <v>883989.56862781453</v>
      </c>
      <c r="J83" s="235">
        <f t="shared" si="25"/>
        <v>3924388.4216186432</v>
      </c>
      <c r="K83" s="165">
        <f t="shared" si="26"/>
        <v>981097.11</v>
      </c>
      <c r="L83" s="809">
        <v>201660.34</v>
      </c>
      <c r="M83" s="425">
        <f t="shared" si="27"/>
        <v>1085649.9086278146</v>
      </c>
      <c r="N83" s="237">
        <f t="shared" si="19"/>
        <v>1126318.95</v>
      </c>
      <c r="O83" s="238">
        <f t="shared" si="20"/>
        <v>1126318.95</v>
      </c>
      <c r="P83" s="317"/>
      <c r="Q83" s="318"/>
      <c r="R83" s="318"/>
      <c r="S83" s="319"/>
      <c r="T83" s="328">
        <f>'Project Final Cost Tracking'!C82</f>
        <v>-1131.6800000000512</v>
      </c>
      <c r="U83" s="339">
        <f t="shared" si="28"/>
        <v>-39537.361372185289</v>
      </c>
      <c r="V83" s="338">
        <f t="shared" si="21"/>
        <v>-4.0299131420522979E-2</v>
      </c>
      <c r="W83" s="339">
        <f t="shared" si="29"/>
        <v>3938415.6974529801</v>
      </c>
      <c r="X83" s="340">
        <f t="shared" si="22"/>
        <v>0</v>
      </c>
      <c r="Y83" s="237">
        <f t="shared" si="30"/>
        <v>930167.51</v>
      </c>
      <c r="Z83" s="253">
        <f t="shared" si="31"/>
        <v>1.6438752070624552E-2</v>
      </c>
      <c r="AA83" s="238">
        <f t="shared" si="23"/>
        <v>13251.716472253096</v>
      </c>
      <c r="AB83" s="236">
        <f>ROUND($C83*Allocations!$B$16,2)</f>
        <v>883989.57</v>
      </c>
      <c r="AC83" s="239">
        <f>$C83*Allocations!$B$24</f>
        <v>0</v>
      </c>
      <c r="AD83" s="242">
        <f t="shared" si="24"/>
        <v>-26285.64</v>
      </c>
      <c r="AE83" s="153"/>
      <c r="AF83" s="141"/>
      <c r="AG83" s="151"/>
      <c r="AH83" s="146"/>
      <c r="AI83" s="145"/>
      <c r="AJ83" s="146"/>
      <c r="AK83" s="151"/>
      <c r="AL83" s="146"/>
      <c r="AM83" s="145"/>
      <c r="AN83" s="146"/>
      <c r="AO83" s="145"/>
      <c r="AP83" s="146"/>
      <c r="AQ83" s="145"/>
      <c r="AR83" s="146"/>
      <c r="AS83" s="145">
        <f>Poweshiek!C11</f>
        <v>1126318.95</v>
      </c>
      <c r="AT83" s="146">
        <f>Poweshiek!D11</f>
        <v>1126318.95</v>
      </c>
      <c r="AU83" s="145"/>
      <c r="AV83" s="146"/>
      <c r="AW83" s="148"/>
      <c r="AX83" s="141"/>
      <c r="AY83" s="145"/>
      <c r="AZ83" s="146"/>
      <c r="BA83" s="149"/>
      <c r="BB83" s="150"/>
      <c r="BC83" s="179"/>
      <c r="BD83" s="176"/>
    </row>
    <row r="84" spans="1:56" s="143" customFormat="1" ht="12.75">
      <c r="A84" s="98" t="s">
        <v>81</v>
      </c>
      <c r="B84" s="142">
        <v>80</v>
      </c>
      <c r="C84" s="246">
        <v>1.1987753263081418E-2</v>
      </c>
      <c r="D84" s="303">
        <v>707847.92906951602</v>
      </c>
      <c r="E84" s="341">
        <v>145905.98514874899</v>
      </c>
      <c r="F84" s="595">
        <v>691868.91270640038</v>
      </c>
      <c r="G84" s="341">
        <v>139962.6</v>
      </c>
      <c r="H84" s="428">
        <v>664781.84</v>
      </c>
      <c r="I84" s="389">
        <f>$C84*Allocations!$B$16</f>
        <v>689865.60252752912</v>
      </c>
      <c r="J84" s="385">
        <f t="shared" si="25"/>
        <v>3040232.8694521943</v>
      </c>
      <c r="K84" s="168">
        <f t="shared" si="26"/>
        <v>760058.22</v>
      </c>
      <c r="L84" s="810">
        <v>2039145.64</v>
      </c>
      <c r="M84" s="426">
        <f t="shared" si="27"/>
        <v>2729011.2425275291</v>
      </c>
      <c r="N84" s="303">
        <f t="shared" si="19"/>
        <v>0</v>
      </c>
      <c r="O84" s="341">
        <f t="shared" si="20"/>
        <v>0</v>
      </c>
      <c r="P84" s="342"/>
      <c r="Q84" s="343"/>
      <c r="R84" s="343"/>
      <c r="S84" s="344"/>
      <c r="T84" s="188">
        <f>'Project Final Cost Tracking'!C83</f>
        <v>0</v>
      </c>
      <c r="U84" s="346">
        <f t="shared" si="28"/>
        <v>2729011.2425275291</v>
      </c>
      <c r="V84" s="345">
        <f t="shared" si="21"/>
        <v>3.5905292130483493</v>
      </c>
      <c r="W84" s="346">
        <f t="shared" si="29"/>
        <v>5833406.4539014101</v>
      </c>
      <c r="X84" s="347">
        <f t="shared" si="22"/>
        <v>0</v>
      </c>
      <c r="Y84" s="303">
        <f t="shared" si="30"/>
        <v>664781.84</v>
      </c>
      <c r="Z84" s="348">
        <f t="shared" si="31"/>
        <v>1.1748619180230879E-2</v>
      </c>
      <c r="AA84" s="341">
        <f t="shared" si="23"/>
        <v>9470.8752615781232</v>
      </c>
      <c r="AB84" s="231">
        <f>ROUND($C84*Allocations!$B$16,2)</f>
        <v>689865.6</v>
      </c>
      <c r="AC84" s="240">
        <f>$C84*Allocations!$B$24</f>
        <v>0</v>
      </c>
      <c r="AD84" s="244">
        <f t="shared" si="24"/>
        <v>2738482.12</v>
      </c>
      <c r="AE84" s="187"/>
      <c r="AF84" s="170"/>
      <c r="AG84" s="188"/>
      <c r="AH84" s="168"/>
      <c r="AI84" s="167"/>
      <c r="AJ84" s="168"/>
      <c r="AK84" s="188"/>
      <c r="AL84" s="168"/>
      <c r="AM84" s="167"/>
      <c r="AN84" s="168"/>
      <c r="AO84" s="167"/>
      <c r="AP84" s="168"/>
      <c r="AQ84" s="167"/>
      <c r="AR84" s="168"/>
      <c r="AS84" s="167"/>
      <c r="AT84" s="168"/>
      <c r="AU84" s="167"/>
      <c r="AV84" s="168"/>
      <c r="AW84" s="169"/>
      <c r="AX84" s="170"/>
      <c r="AY84" s="167"/>
      <c r="AZ84" s="168"/>
      <c r="BA84" s="171"/>
      <c r="BB84" s="172"/>
      <c r="BC84" s="180"/>
      <c r="BD84" s="178"/>
    </row>
    <row r="85" spans="1:56" s="30" customFormat="1" ht="12.75">
      <c r="A85" s="97" t="s">
        <v>82</v>
      </c>
      <c r="B85" s="47">
        <v>81</v>
      </c>
      <c r="C85" s="245">
        <v>1.3273820373504754E-2</v>
      </c>
      <c r="D85" s="237">
        <v>660243.33986684377</v>
      </c>
      <c r="E85" s="238">
        <v>136093.43332798179</v>
      </c>
      <c r="F85" s="597">
        <v>738130.50223227229</v>
      </c>
      <c r="G85" s="238">
        <v>149321.15</v>
      </c>
      <c r="H85" s="427">
        <v>787249.23</v>
      </c>
      <c r="I85" s="388">
        <f>$C85*Allocations!$B$16</f>
        <v>763875.58943269635</v>
      </c>
      <c r="J85" s="235">
        <f t="shared" si="25"/>
        <v>3234913.2448597942</v>
      </c>
      <c r="K85" s="165">
        <f t="shared" si="26"/>
        <v>808728.31</v>
      </c>
      <c r="L85" s="809">
        <v>1784810.83</v>
      </c>
      <c r="M85" s="425">
        <f t="shared" si="27"/>
        <v>2548686.4194326964</v>
      </c>
      <c r="N85" s="237">
        <f t="shared" si="19"/>
        <v>562681.78</v>
      </c>
      <c r="O85" s="238">
        <f t="shared" si="20"/>
        <v>562681.78</v>
      </c>
      <c r="P85" s="317"/>
      <c r="Q85" s="318"/>
      <c r="R85" s="318"/>
      <c r="S85" s="319"/>
      <c r="T85" s="328">
        <f>'Project Final Cost Tracking'!C84</f>
        <v>0</v>
      </c>
      <c r="U85" s="339">
        <f t="shared" si="28"/>
        <v>1986004.6394326964</v>
      </c>
      <c r="V85" s="338">
        <f t="shared" si="21"/>
        <v>2.4557130186684035</v>
      </c>
      <c r="W85" s="339">
        <f t="shared" si="29"/>
        <v>5423444.79187983</v>
      </c>
      <c r="X85" s="340">
        <f t="shared" si="22"/>
        <v>0</v>
      </c>
      <c r="Y85" s="237">
        <f t="shared" si="30"/>
        <v>787249.23</v>
      </c>
      <c r="Z85" s="253">
        <f t="shared" si="31"/>
        <v>1.3912972416936046E-2</v>
      </c>
      <c r="AA85" s="238">
        <f t="shared" si="23"/>
        <v>11215.618129856595</v>
      </c>
      <c r="AB85" s="236">
        <f>ROUND($C85*Allocations!$B$16,2)</f>
        <v>763875.59</v>
      </c>
      <c r="AC85" s="239">
        <f>$C85*Allocations!$B$24</f>
        <v>0</v>
      </c>
      <c r="AD85" s="242">
        <f t="shared" si="24"/>
        <v>1997220.26</v>
      </c>
      <c r="AE85" s="153"/>
      <c r="AF85" s="141"/>
      <c r="AG85" s="151"/>
      <c r="AH85" s="146"/>
      <c r="AI85" s="145"/>
      <c r="AJ85" s="146"/>
      <c r="AK85" s="151">
        <f>Sac!C14</f>
        <v>562681.78</v>
      </c>
      <c r="AL85" s="146">
        <f>Sac!D14</f>
        <v>562681.78</v>
      </c>
      <c r="AM85" s="145"/>
      <c r="AN85" s="189"/>
      <c r="AO85" s="145"/>
      <c r="AP85" s="146"/>
      <c r="AQ85" s="145"/>
      <c r="AR85" s="146"/>
      <c r="AS85" s="145"/>
      <c r="AT85" s="146"/>
      <c r="AU85" s="145"/>
      <c r="AV85" s="146"/>
      <c r="AW85" s="148"/>
      <c r="AX85" s="141"/>
      <c r="AY85" s="145"/>
      <c r="AZ85" s="146"/>
      <c r="BA85" s="149"/>
      <c r="BB85" s="150"/>
      <c r="BC85" s="179"/>
      <c r="BD85" s="176"/>
    </row>
    <row r="86" spans="1:56" s="30" customFormat="1" ht="12.75">
      <c r="A86" s="97" t="s">
        <v>83</v>
      </c>
      <c r="B86" s="47">
        <v>82</v>
      </c>
      <c r="C86" s="245">
        <v>1.0298924414434149E-2</v>
      </c>
      <c r="D86" s="237">
        <v>427093.34690945462</v>
      </c>
      <c r="E86" s="238">
        <v>88035.117391973821</v>
      </c>
      <c r="F86" s="597">
        <v>562104.35243712063</v>
      </c>
      <c r="G86" s="238">
        <v>113711.69</v>
      </c>
      <c r="H86" s="427">
        <v>537163.15</v>
      </c>
      <c r="I86" s="388">
        <f>$C86*Allocations!$B$16</f>
        <v>592677.67200630601</v>
      </c>
      <c r="J86" s="235">
        <f t="shared" si="25"/>
        <v>2320785.3287448548</v>
      </c>
      <c r="K86" s="165">
        <f t="shared" si="26"/>
        <v>580196.32999999996</v>
      </c>
      <c r="L86" s="809">
        <v>908109.12</v>
      </c>
      <c r="M86" s="425">
        <f t="shared" si="27"/>
        <v>1500786.7920063059</v>
      </c>
      <c r="N86" s="237">
        <f t="shared" si="19"/>
        <v>0</v>
      </c>
      <c r="O86" s="238">
        <f t="shared" si="20"/>
        <v>0</v>
      </c>
      <c r="P86" s="317"/>
      <c r="Q86" s="318"/>
      <c r="R86" s="318"/>
      <c r="S86" s="319"/>
      <c r="T86" s="328">
        <f>'Project Final Cost Tracking'!C85</f>
        <v>0</v>
      </c>
      <c r="U86" s="339">
        <f t="shared" si="28"/>
        <v>1500786.7920063059</v>
      </c>
      <c r="V86" s="338">
        <f t="shared" si="21"/>
        <v>2.5866878406595677</v>
      </c>
      <c r="W86" s="339">
        <f t="shared" si="29"/>
        <v>4167836.316034683</v>
      </c>
      <c r="X86" s="340">
        <f t="shared" si="22"/>
        <v>0</v>
      </c>
      <c r="Y86" s="237">
        <f t="shared" si="30"/>
        <v>537163.15</v>
      </c>
      <c r="Z86" s="253">
        <f t="shared" si="31"/>
        <v>9.4932275632006388E-3</v>
      </c>
      <c r="AA86" s="238">
        <f t="shared" si="23"/>
        <v>7652.7439268894268</v>
      </c>
      <c r="AB86" s="236">
        <f>ROUND($C86*Allocations!$B$16,2)</f>
        <v>592677.67000000004</v>
      </c>
      <c r="AC86" s="239">
        <f>$C86*Allocations!$B$24</f>
        <v>0</v>
      </c>
      <c r="AD86" s="242">
        <f t="shared" si="24"/>
        <v>1508439.53</v>
      </c>
      <c r="AE86" s="153"/>
      <c r="AF86" s="141"/>
      <c r="AG86" s="151"/>
      <c r="AH86" s="146"/>
      <c r="AI86" s="145"/>
      <c r="AJ86" s="146"/>
      <c r="AK86" s="151"/>
      <c r="AL86" s="146"/>
      <c r="AM86" s="145"/>
      <c r="AN86" s="146"/>
      <c r="AO86" s="145"/>
      <c r="AP86" s="146"/>
      <c r="AQ86" s="145"/>
      <c r="AR86" s="146"/>
      <c r="AS86" s="145"/>
      <c r="AT86" s="146"/>
      <c r="AU86" s="145"/>
      <c r="AV86" s="146"/>
      <c r="AW86" s="148"/>
      <c r="AX86" s="141"/>
      <c r="AY86" s="145"/>
      <c r="AZ86" s="146"/>
      <c r="BA86" s="149"/>
      <c r="BB86" s="150"/>
      <c r="BC86" s="179"/>
      <c r="BD86" s="176"/>
    </row>
    <row r="87" spans="1:56" s="30" customFormat="1" ht="12.75">
      <c r="A87" s="97" t="s">
        <v>84</v>
      </c>
      <c r="B87" s="47">
        <v>83</v>
      </c>
      <c r="C87" s="245">
        <v>5.5602733092137294E-3</v>
      </c>
      <c r="D87" s="237">
        <v>391872.72882544261</v>
      </c>
      <c r="E87" s="238">
        <v>80775.226152550633</v>
      </c>
      <c r="F87" s="597">
        <v>367014.23224611266</v>
      </c>
      <c r="G87" s="238">
        <v>74245.66</v>
      </c>
      <c r="H87" s="427">
        <v>357690.95</v>
      </c>
      <c r="I87" s="388">
        <f>$C87*Allocations!$B$16</f>
        <v>319980.00063044968</v>
      </c>
      <c r="J87" s="235">
        <f t="shared" si="25"/>
        <v>1591578.7978545558</v>
      </c>
      <c r="K87" s="165">
        <f t="shared" si="26"/>
        <v>397894.7</v>
      </c>
      <c r="L87" s="809">
        <v>175865.89</v>
      </c>
      <c r="M87" s="425">
        <f t="shared" si="27"/>
        <v>495845.89063044969</v>
      </c>
      <c r="N87" s="237">
        <f t="shared" si="19"/>
        <v>0</v>
      </c>
      <c r="O87" s="238">
        <f t="shared" si="20"/>
        <v>0</v>
      </c>
      <c r="P87" s="317"/>
      <c r="Q87" s="318"/>
      <c r="R87" s="318"/>
      <c r="S87" s="319"/>
      <c r="T87" s="328">
        <f>'Project Final Cost Tracking'!C86</f>
        <v>0</v>
      </c>
      <c r="U87" s="339">
        <f t="shared" si="28"/>
        <v>495845.89063044969</v>
      </c>
      <c r="V87" s="338">
        <f t="shared" si="21"/>
        <v>1.2461736500396956</v>
      </c>
      <c r="W87" s="339">
        <f t="shared" si="29"/>
        <v>1935755.8934674731</v>
      </c>
      <c r="X87" s="340">
        <f t="shared" si="22"/>
        <v>0</v>
      </c>
      <c r="Y87" s="237">
        <f t="shared" si="30"/>
        <v>357690.95</v>
      </c>
      <c r="Z87" s="253">
        <f t="shared" si="31"/>
        <v>6.3214343456870076E-3</v>
      </c>
      <c r="AA87" s="238">
        <f t="shared" si="23"/>
        <v>5095.8768212521836</v>
      </c>
      <c r="AB87" s="236">
        <f>ROUND($C87*Allocations!$B$16,2)</f>
        <v>319980</v>
      </c>
      <c r="AC87" s="239">
        <f>$C87*Allocations!$B$24</f>
        <v>0</v>
      </c>
      <c r="AD87" s="242">
        <f t="shared" si="24"/>
        <v>500941.77</v>
      </c>
      <c r="AE87" s="153"/>
      <c r="AF87" s="141"/>
      <c r="AG87" s="151"/>
      <c r="AH87" s="146"/>
      <c r="AI87" s="145"/>
      <c r="AJ87" s="146"/>
      <c r="AK87" s="151"/>
      <c r="AL87" s="146"/>
      <c r="AM87" s="145"/>
      <c r="AN87" s="146"/>
      <c r="AO87" s="145"/>
      <c r="AP87" s="146"/>
      <c r="AQ87" s="145"/>
      <c r="AR87" s="146"/>
      <c r="AS87" s="145"/>
      <c r="AT87" s="146"/>
      <c r="AU87" s="145"/>
      <c r="AV87" s="146"/>
      <c r="AW87" s="148"/>
      <c r="AX87" s="141"/>
      <c r="AY87" s="145"/>
      <c r="AZ87" s="146"/>
      <c r="BA87" s="173"/>
      <c r="BB87" s="150"/>
      <c r="BC87" s="179"/>
      <c r="BD87" s="176"/>
    </row>
    <row r="88" spans="1:56" s="30" customFormat="1" ht="12.75">
      <c r="A88" s="97" t="s">
        <v>85</v>
      </c>
      <c r="B88" s="47">
        <v>84</v>
      </c>
      <c r="C88" s="245">
        <v>7.4117395257230359E-3</v>
      </c>
      <c r="D88" s="237">
        <v>421440.93829368969</v>
      </c>
      <c r="E88" s="238">
        <v>86870.008032071361</v>
      </c>
      <c r="F88" s="597">
        <v>454737.8698691802</v>
      </c>
      <c r="G88" s="238">
        <v>91991.84</v>
      </c>
      <c r="H88" s="427">
        <v>432310.42</v>
      </c>
      <c r="I88" s="388">
        <f>$C88*Allocations!$B$16</f>
        <v>426527.31012047169</v>
      </c>
      <c r="J88" s="235">
        <f t="shared" si="25"/>
        <v>1913878.3863154131</v>
      </c>
      <c r="K88" s="165">
        <f t="shared" si="26"/>
        <v>478469.6</v>
      </c>
      <c r="L88" s="809">
        <v>-914530.99</v>
      </c>
      <c r="M88" s="425">
        <f t="shared" si="27"/>
        <v>-488003.6798795283</v>
      </c>
      <c r="N88" s="237">
        <f t="shared" si="19"/>
        <v>0</v>
      </c>
      <c r="O88" s="238">
        <f t="shared" si="20"/>
        <v>0</v>
      </c>
      <c r="P88" s="317"/>
      <c r="Q88" s="318"/>
      <c r="R88" s="318"/>
      <c r="S88" s="319"/>
      <c r="T88" s="328">
        <f>'Project Final Cost Tracking'!C87</f>
        <v>0</v>
      </c>
      <c r="U88" s="339">
        <f t="shared" si="28"/>
        <v>-488003.6798795283</v>
      </c>
      <c r="V88" s="338">
        <f t="shared" si="21"/>
        <v>-1.0199261977762606</v>
      </c>
      <c r="W88" s="339">
        <f t="shared" si="29"/>
        <v>1431369.2156625944</v>
      </c>
      <c r="X88" s="340">
        <f t="shared" si="22"/>
        <v>0</v>
      </c>
      <c r="Y88" s="237">
        <f t="shared" si="30"/>
        <v>432310.42</v>
      </c>
      <c r="Z88" s="253">
        <f t="shared" si="31"/>
        <v>7.6401763505237552E-3</v>
      </c>
      <c r="AA88" s="238">
        <f t="shared" si="23"/>
        <v>6158.9499227302122</v>
      </c>
      <c r="AB88" s="236">
        <f>ROUND($C88*Allocations!$B$16,2)</f>
        <v>426527.31</v>
      </c>
      <c r="AC88" s="239">
        <f>$C88*Allocations!$B$24</f>
        <v>0</v>
      </c>
      <c r="AD88" s="242">
        <f t="shared" si="24"/>
        <v>-481844.73</v>
      </c>
      <c r="AE88" s="153"/>
      <c r="AF88" s="141"/>
      <c r="AG88" s="151"/>
      <c r="AH88" s="146"/>
      <c r="AI88" s="145"/>
      <c r="AJ88" s="146"/>
      <c r="AK88" s="151"/>
      <c r="AL88" s="146"/>
      <c r="AM88" s="185"/>
      <c r="AN88" s="186"/>
      <c r="AO88" s="145"/>
      <c r="AP88" s="146"/>
      <c r="AQ88" s="145"/>
      <c r="AR88" s="146"/>
      <c r="AS88" s="145"/>
      <c r="AT88" s="146"/>
      <c r="AU88" s="145"/>
      <c r="AV88" s="146"/>
      <c r="AW88" s="148"/>
      <c r="AX88" s="141"/>
      <c r="AY88" s="145"/>
      <c r="AZ88" s="146"/>
      <c r="BA88" s="149"/>
      <c r="BB88" s="150"/>
      <c r="BC88" s="179"/>
      <c r="BD88" s="176"/>
    </row>
    <row r="89" spans="1:56" s="30" customFormat="1" ht="12.75">
      <c r="A89" s="98" t="s">
        <v>86</v>
      </c>
      <c r="B89" s="46">
        <v>85</v>
      </c>
      <c r="C89" s="246">
        <v>7.8832778263228879E-3</v>
      </c>
      <c r="D89" s="303">
        <v>524573.02430001402</v>
      </c>
      <c r="E89" s="341">
        <v>108128.23030161829</v>
      </c>
      <c r="F89" s="595">
        <v>495470.78772247321</v>
      </c>
      <c r="G89" s="341">
        <v>100231.96</v>
      </c>
      <c r="H89" s="428">
        <v>475581.81</v>
      </c>
      <c r="I89" s="389">
        <f>$C89*Allocations!$B$16</f>
        <v>453663.17509192904</v>
      </c>
      <c r="J89" s="385">
        <f t="shared" si="25"/>
        <v>2157648.9874160346</v>
      </c>
      <c r="K89" s="168">
        <f t="shared" si="26"/>
        <v>539412.25</v>
      </c>
      <c r="L89" s="810">
        <v>1437493.43</v>
      </c>
      <c r="M89" s="426">
        <f t="shared" si="27"/>
        <v>1891156.605091929</v>
      </c>
      <c r="N89" s="303">
        <f t="shared" si="19"/>
        <v>1748209.3499999999</v>
      </c>
      <c r="O89" s="341">
        <f t="shared" si="20"/>
        <v>1748209.3499999999</v>
      </c>
      <c r="P89" s="342"/>
      <c r="Q89" s="343"/>
      <c r="R89" s="343"/>
      <c r="S89" s="344"/>
      <c r="T89" s="188">
        <f>'Project Final Cost Tracking'!C88</f>
        <v>0</v>
      </c>
      <c r="U89" s="346">
        <f t="shared" si="28"/>
        <v>142947.25509192911</v>
      </c>
      <c r="V89" s="345">
        <f t="shared" si="21"/>
        <v>0.26500557800073898</v>
      </c>
      <c r="W89" s="346">
        <f t="shared" si="29"/>
        <v>2184431.5430056099</v>
      </c>
      <c r="X89" s="347">
        <f t="shared" si="22"/>
        <v>0</v>
      </c>
      <c r="Y89" s="303">
        <f t="shared" si="30"/>
        <v>475581.81</v>
      </c>
      <c r="Z89" s="348">
        <f t="shared" si="31"/>
        <v>8.4049070515147019E-3</v>
      </c>
      <c r="AA89" s="341">
        <f t="shared" si="23"/>
        <v>6775.4197364740703</v>
      </c>
      <c r="AB89" s="231">
        <f>ROUND($C89*Allocations!$B$16,2)</f>
        <v>453663.18</v>
      </c>
      <c r="AC89" s="240">
        <f>$C89*Allocations!$B$24</f>
        <v>0</v>
      </c>
      <c r="AD89" s="244">
        <f t="shared" si="24"/>
        <v>149722.68</v>
      </c>
      <c r="AE89" s="162">
        <f>Story!C7</f>
        <v>514450.7</v>
      </c>
      <c r="AF89" s="159">
        <f>Story!D7</f>
        <v>514450.7</v>
      </c>
      <c r="AG89" s="174"/>
      <c r="AH89" s="157"/>
      <c r="AI89" s="156"/>
      <c r="AJ89" s="157"/>
      <c r="AK89" s="174"/>
      <c r="AL89" s="157"/>
      <c r="AM89" s="156">
        <f>Story!C8</f>
        <v>1233758.6499999999</v>
      </c>
      <c r="AN89" s="157">
        <f>Story!D8</f>
        <v>1233758.6499999999</v>
      </c>
      <c r="AO89" s="156"/>
      <c r="AP89" s="157"/>
      <c r="AQ89" s="156"/>
      <c r="AR89" s="157"/>
      <c r="AS89" s="156"/>
      <c r="AT89" s="157"/>
      <c r="AU89" s="156"/>
      <c r="AV89" s="157"/>
      <c r="AW89" s="158"/>
      <c r="AX89" s="159"/>
      <c r="AY89" s="156"/>
      <c r="AZ89" s="157"/>
      <c r="BA89" s="160"/>
      <c r="BB89" s="161"/>
      <c r="BC89" s="180"/>
      <c r="BD89" s="176"/>
    </row>
    <row r="90" spans="1:56" s="30" customFormat="1" ht="12.75">
      <c r="A90" s="97" t="s">
        <v>87</v>
      </c>
      <c r="B90" s="47">
        <v>86</v>
      </c>
      <c r="C90" s="245">
        <v>2.851083277975721E-2</v>
      </c>
      <c r="D90" s="237">
        <v>1584021.0533725566</v>
      </c>
      <c r="E90" s="238">
        <v>326508.19872072333</v>
      </c>
      <c r="F90" s="597">
        <v>1633846.3293073233</v>
      </c>
      <c r="G90" s="238">
        <v>330521.24</v>
      </c>
      <c r="H90" s="427">
        <v>1688969.52</v>
      </c>
      <c r="I90" s="388">
        <f>$C90*Allocations!$B$16</f>
        <v>1640728.0332288942</v>
      </c>
      <c r="J90" s="235">
        <f t="shared" si="25"/>
        <v>7204594.3746294975</v>
      </c>
      <c r="K90" s="165">
        <f t="shared" si="26"/>
        <v>1801148.59</v>
      </c>
      <c r="L90" s="809">
        <v>3253505.34</v>
      </c>
      <c r="M90" s="425">
        <f t="shared" si="27"/>
        <v>4894233.3732288945</v>
      </c>
      <c r="N90" s="237">
        <f t="shared" si="19"/>
        <v>1191161.2</v>
      </c>
      <c r="O90" s="238">
        <f t="shared" si="20"/>
        <v>1191161.2</v>
      </c>
      <c r="P90" s="317"/>
      <c r="Q90" s="318"/>
      <c r="R90" s="318"/>
      <c r="S90" s="319"/>
      <c r="T90" s="328">
        <f>'Project Final Cost Tracking'!C89</f>
        <v>0</v>
      </c>
      <c r="U90" s="339">
        <f t="shared" si="28"/>
        <v>3703072.1732288944</v>
      </c>
      <c r="V90" s="338">
        <f t="shared" si="21"/>
        <v>2.0559504050850652</v>
      </c>
      <c r="W90" s="339">
        <f t="shared" si="29"/>
        <v>11086348.322758919</v>
      </c>
      <c r="X90" s="340">
        <f t="shared" si="22"/>
        <v>0</v>
      </c>
      <c r="Y90" s="237">
        <f t="shared" si="30"/>
        <v>1688969.52</v>
      </c>
      <c r="Z90" s="253">
        <f t="shared" si="31"/>
        <v>2.9848979775827424E-2</v>
      </c>
      <c r="AA90" s="238">
        <f t="shared" si="23"/>
        <v>24062.058681578121</v>
      </c>
      <c r="AB90" s="236">
        <f>ROUND($C90*Allocations!$B$16,2)</f>
        <v>1640728.03</v>
      </c>
      <c r="AC90" s="239">
        <f>$C90*Allocations!$B$24</f>
        <v>0</v>
      </c>
      <c r="AD90" s="242">
        <f t="shared" si="24"/>
        <v>3727134.23</v>
      </c>
      <c r="AE90" s="153"/>
      <c r="AF90" s="141"/>
      <c r="AG90" s="151"/>
      <c r="AH90" s="146"/>
      <c r="AI90" s="145"/>
      <c r="AJ90" s="146"/>
      <c r="AK90" s="828">
        <f>Tama!C16+Tama!C17+Tama!C18+Tama!C19</f>
        <v>1191161.2</v>
      </c>
      <c r="AL90" s="829">
        <f>Tama!D16+Tama!D17+Tama!D18+Tama!D19</f>
        <v>1191161.2</v>
      </c>
      <c r="AM90" s="145"/>
      <c r="AN90" s="146"/>
      <c r="AO90" s="145"/>
      <c r="AP90" s="146"/>
      <c r="AQ90" s="145"/>
      <c r="AR90" s="146"/>
      <c r="AS90" s="145"/>
      <c r="AT90" s="146"/>
      <c r="AU90" s="145"/>
      <c r="AV90" s="146"/>
      <c r="AW90" s="148"/>
      <c r="AX90" s="141"/>
      <c r="AY90" s="145"/>
      <c r="AZ90" s="146"/>
      <c r="BA90" s="173"/>
      <c r="BB90" s="150"/>
      <c r="BC90" s="179"/>
      <c r="BD90" s="830" t="s">
        <v>853</v>
      </c>
    </row>
    <row r="91" spans="1:56" s="30" customFormat="1" ht="12.75">
      <c r="A91" s="97" t="s">
        <v>88</v>
      </c>
      <c r="B91" s="47">
        <v>87</v>
      </c>
      <c r="C91" s="245">
        <v>9.91887197666288E-3</v>
      </c>
      <c r="D91" s="237">
        <v>503475.49721542199</v>
      </c>
      <c r="E91" s="238">
        <v>103779.4777700876</v>
      </c>
      <c r="F91" s="597">
        <v>562655.19943986449</v>
      </c>
      <c r="G91" s="238">
        <v>113823.13</v>
      </c>
      <c r="H91" s="427">
        <v>565355.38</v>
      </c>
      <c r="I91" s="388">
        <f>$C91*Allocations!$B$16</f>
        <v>570806.59256203834</v>
      </c>
      <c r="J91" s="235">
        <f t="shared" si="25"/>
        <v>2419895.2769874125</v>
      </c>
      <c r="K91" s="165">
        <f t="shared" si="26"/>
        <v>604973.81999999995</v>
      </c>
      <c r="L91" s="809">
        <v>2444135.5</v>
      </c>
      <c r="M91" s="425">
        <f t="shared" si="27"/>
        <v>3014942.0925620385</v>
      </c>
      <c r="N91" s="237">
        <f t="shared" si="19"/>
        <v>1246643.1499999999</v>
      </c>
      <c r="O91" s="238">
        <f t="shared" si="20"/>
        <v>1246643.1499999999</v>
      </c>
      <c r="P91" s="317"/>
      <c r="Q91" s="318"/>
      <c r="R91" s="318"/>
      <c r="S91" s="319"/>
      <c r="T91" s="328">
        <f>'Project Final Cost Tracking'!C90</f>
        <v>0</v>
      </c>
      <c r="U91" s="339">
        <f t="shared" si="28"/>
        <v>1768298.9425620385</v>
      </c>
      <c r="V91" s="338">
        <f t="shared" si="21"/>
        <v>2.9229346528781011</v>
      </c>
      <c r="W91" s="339">
        <f t="shared" si="29"/>
        <v>4336928.6090912111</v>
      </c>
      <c r="X91" s="340">
        <f t="shared" si="22"/>
        <v>0</v>
      </c>
      <c r="Y91" s="237">
        <f t="shared" si="30"/>
        <v>565355.38</v>
      </c>
      <c r="Z91" s="253">
        <f t="shared" si="31"/>
        <v>9.9914658636203382E-3</v>
      </c>
      <c r="AA91" s="238">
        <f t="shared" si="23"/>
        <v>8054.3871090734056</v>
      </c>
      <c r="AB91" s="236">
        <f>ROUND($C91*Allocations!$B$16,2)</f>
        <v>570806.59</v>
      </c>
      <c r="AC91" s="239">
        <f>$C91*Allocations!$B$24</f>
        <v>0</v>
      </c>
      <c r="AD91" s="242">
        <f t="shared" si="24"/>
        <v>1776353.33</v>
      </c>
      <c r="AE91" s="153"/>
      <c r="AF91" s="141"/>
      <c r="AG91" s="151"/>
      <c r="AH91" s="146"/>
      <c r="AI91" s="145"/>
      <c r="AJ91" s="146"/>
      <c r="AK91" s="151"/>
      <c r="AL91" s="146"/>
      <c r="AM91" s="145"/>
      <c r="AN91" s="146"/>
      <c r="AO91" s="145"/>
      <c r="AP91" s="146"/>
      <c r="AQ91" s="145"/>
      <c r="AR91" s="146"/>
      <c r="AS91" s="145"/>
      <c r="AT91" s="146"/>
      <c r="AU91" s="145"/>
      <c r="AV91" s="146"/>
      <c r="AW91" s="148"/>
      <c r="AX91" s="141"/>
      <c r="AY91" s="145"/>
      <c r="AZ91" s="146"/>
      <c r="BA91" s="149">
        <f>Taylor!C5</f>
        <v>1246643.1499999999</v>
      </c>
      <c r="BB91" s="150">
        <f>Taylor!D5</f>
        <v>1246643.1499999999</v>
      </c>
      <c r="BC91" s="179"/>
      <c r="BD91" s="176"/>
    </row>
    <row r="92" spans="1:56" s="30" customFormat="1" ht="12.75">
      <c r="A92" s="97" t="s">
        <v>89</v>
      </c>
      <c r="B92" s="47">
        <v>88</v>
      </c>
      <c r="C92" s="245">
        <v>6.2309663004084161E-3</v>
      </c>
      <c r="D92" s="237">
        <v>331013.39541963604</v>
      </c>
      <c r="E92" s="238">
        <v>68230.524626414903</v>
      </c>
      <c r="F92" s="597">
        <v>324448.86688982393</v>
      </c>
      <c r="G92" s="238">
        <v>65634.84</v>
      </c>
      <c r="H92" s="427">
        <v>332059.14</v>
      </c>
      <c r="I92" s="388">
        <f>$C92*Allocations!$B$16</f>
        <v>358576.72633270861</v>
      </c>
      <c r="J92" s="235">
        <f t="shared" si="25"/>
        <v>1479963.4932685834</v>
      </c>
      <c r="K92" s="165">
        <f t="shared" si="26"/>
        <v>369990.87</v>
      </c>
      <c r="L92" s="809">
        <v>1457656.27</v>
      </c>
      <c r="M92" s="425">
        <f t="shared" si="27"/>
        <v>1816232.9963327087</v>
      </c>
      <c r="N92" s="237">
        <f t="shared" si="19"/>
        <v>1668972.85</v>
      </c>
      <c r="O92" s="238">
        <f t="shared" si="20"/>
        <v>1668972.85</v>
      </c>
      <c r="P92" s="317"/>
      <c r="Q92" s="318"/>
      <c r="R92" s="318"/>
      <c r="S92" s="319"/>
      <c r="T92" s="328">
        <f>'Project Final Cost Tracking'!C91</f>
        <v>0</v>
      </c>
      <c r="U92" s="339">
        <f t="shared" si="28"/>
        <v>147260.14633270865</v>
      </c>
      <c r="V92" s="338">
        <f t="shared" si="21"/>
        <v>0.39801021666482922</v>
      </c>
      <c r="W92" s="339">
        <f t="shared" si="29"/>
        <v>1760855.4148298975</v>
      </c>
      <c r="X92" s="340">
        <f t="shared" si="22"/>
        <v>0</v>
      </c>
      <c r="Y92" s="237">
        <f t="shared" si="30"/>
        <v>332059.14</v>
      </c>
      <c r="Z92" s="253">
        <f t="shared" si="31"/>
        <v>5.8684460772499003E-3</v>
      </c>
      <c r="AA92" s="238">
        <f t="shared" si="23"/>
        <v>4730.7108966859059</v>
      </c>
      <c r="AB92" s="236">
        <f>ROUND($C92*Allocations!$B$16,2)</f>
        <v>358576.73</v>
      </c>
      <c r="AC92" s="239">
        <f>$C92*Allocations!$B$24</f>
        <v>0</v>
      </c>
      <c r="AD92" s="242">
        <f t="shared" si="24"/>
        <v>151990.85999999999</v>
      </c>
      <c r="AE92" s="153"/>
      <c r="AF92" s="141"/>
      <c r="AG92" s="151"/>
      <c r="AH92" s="146"/>
      <c r="AI92" s="145"/>
      <c r="AJ92" s="146"/>
      <c r="AK92" s="151"/>
      <c r="AL92" s="146"/>
      <c r="AM92" s="145"/>
      <c r="AN92" s="146"/>
      <c r="AO92" s="145"/>
      <c r="AP92" s="146"/>
      <c r="AQ92" s="145">
        <f>Union!C6+Union!C7</f>
        <v>1668972.85</v>
      </c>
      <c r="AR92" s="146">
        <f>Union!D6+Union!D7</f>
        <v>1668972.85</v>
      </c>
      <c r="AS92" s="145"/>
      <c r="AT92" s="146"/>
      <c r="AU92" s="145"/>
      <c r="AV92" s="146"/>
      <c r="AW92" s="148"/>
      <c r="AX92" s="141"/>
      <c r="AY92" s="145"/>
      <c r="AZ92" s="146"/>
      <c r="BA92" s="149"/>
      <c r="BB92" s="150"/>
      <c r="BC92" s="179"/>
      <c r="BD92" s="176"/>
    </row>
    <row r="93" spans="1:56" s="30" customFormat="1" ht="12.75">
      <c r="A93" s="97" t="s">
        <v>90</v>
      </c>
      <c r="B93" s="47">
        <v>89</v>
      </c>
      <c r="C93" s="245">
        <v>9.6066535536391464E-3</v>
      </c>
      <c r="D93" s="237">
        <v>417348.90144310711</v>
      </c>
      <c r="E93" s="238">
        <v>86026.532133605317</v>
      </c>
      <c r="F93" s="597">
        <v>371828.3520515007</v>
      </c>
      <c r="G93" s="238">
        <v>75219.539999999994</v>
      </c>
      <c r="H93" s="427">
        <v>348309.35</v>
      </c>
      <c r="I93" s="388">
        <f>$C93*Allocations!$B$16</f>
        <v>552839.19318430894</v>
      </c>
      <c r="J93" s="235">
        <f t="shared" si="25"/>
        <v>1851571.8688125222</v>
      </c>
      <c r="K93" s="165">
        <f t="shared" si="26"/>
        <v>462892.97</v>
      </c>
      <c r="L93" s="809">
        <v>1587755.43</v>
      </c>
      <c r="M93" s="425">
        <f t="shared" si="27"/>
        <v>2140594.6231843089</v>
      </c>
      <c r="N93" s="237">
        <f t="shared" si="19"/>
        <v>808273.4</v>
      </c>
      <c r="O93" s="238">
        <f t="shared" si="20"/>
        <v>808273.4</v>
      </c>
      <c r="P93" s="317"/>
      <c r="Q93" s="318"/>
      <c r="R93" s="318"/>
      <c r="S93" s="319"/>
      <c r="T93" s="328">
        <f>'Project Final Cost Tracking'!C92</f>
        <v>0</v>
      </c>
      <c r="U93" s="339">
        <f t="shared" si="28"/>
        <v>1332321.223184309</v>
      </c>
      <c r="V93" s="338">
        <f t="shared" si="21"/>
        <v>2.8782489895759467</v>
      </c>
      <c r="W93" s="339">
        <f t="shared" si="29"/>
        <v>3820097.5925136991</v>
      </c>
      <c r="X93" s="340">
        <f t="shared" si="22"/>
        <v>0</v>
      </c>
      <c r="Y93" s="237">
        <f t="shared" si="30"/>
        <v>348309.35</v>
      </c>
      <c r="Z93" s="253">
        <f t="shared" si="31"/>
        <v>6.1556343206724037E-3</v>
      </c>
      <c r="AA93" s="238">
        <f t="shared" si="23"/>
        <v>4962.2209991346272</v>
      </c>
      <c r="AB93" s="236">
        <f>ROUND($C93*Allocations!$B$16,2)</f>
        <v>552839.18999999994</v>
      </c>
      <c r="AC93" s="239">
        <f>$C93*Allocations!$B$24</f>
        <v>0</v>
      </c>
      <c r="AD93" s="242">
        <f t="shared" si="24"/>
        <v>1337283.44</v>
      </c>
      <c r="AE93" s="153"/>
      <c r="AF93" s="141"/>
      <c r="AG93" s="151"/>
      <c r="AH93" s="146"/>
      <c r="AI93" s="145"/>
      <c r="AJ93" s="146"/>
      <c r="AK93" s="151"/>
      <c r="AL93" s="146"/>
      <c r="AM93" s="145"/>
      <c r="AN93" s="146"/>
      <c r="AO93" s="145"/>
      <c r="AP93" s="146"/>
      <c r="AQ93" s="145"/>
      <c r="AR93" s="146"/>
      <c r="AS93" s="145"/>
      <c r="AT93" s="146"/>
      <c r="AU93" s="145"/>
      <c r="AV93" s="146"/>
      <c r="AW93" s="148"/>
      <c r="AX93" s="141"/>
      <c r="AY93" s="145"/>
      <c r="AZ93" s="146"/>
      <c r="BA93" s="149">
        <f>'Van Buren'!C9</f>
        <v>808273.4</v>
      </c>
      <c r="BB93" s="150">
        <f>'Van Buren'!D9</f>
        <v>808273.4</v>
      </c>
      <c r="BC93" s="179"/>
      <c r="BD93" s="176"/>
    </row>
    <row r="94" spans="1:56" s="30" customFormat="1" ht="12.75">
      <c r="A94" s="98" t="s">
        <v>91</v>
      </c>
      <c r="B94" s="46">
        <v>90</v>
      </c>
      <c r="C94" s="246">
        <v>1.1610148101889642E-2</v>
      </c>
      <c r="D94" s="303">
        <v>774702.84690773673</v>
      </c>
      <c r="E94" s="341">
        <v>159686.53355276404</v>
      </c>
      <c r="F94" s="595">
        <v>460237.2907274068</v>
      </c>
      <c r="G94" s="341">
        <v>93104.35</v>
      </c>
      <c r="H94" s="428">
        <v>670286.68999999994</v>
      </c>
      <c r="I94" s="389">
        <f>$C94*Allocations!$B$16</f>
        <v>668135.35780808527</v>
      </c>
      <c r="J94" s="385">
        <f t="shared" si="25"/>
        <v>2826153.0689959927</v>
      </c>
      <c r="K94" s="168">
        <f t="shared" si="26"/>
        <v>706538.27</v>
      </c>
      <c r="L94" s="810">
        <v>110954.16</v>
      </c>
      <c r="M94" s="426">
        <f t="shared" si="27"/>
        <v>779089.51780808531</v>
      </c>
      <c r="N94" s="303">
        <f t="shared" si="19"/>
        <v>0</v>
      </c>
      <c r="O94" s="341">
        <f t="shared" si="20"/>
        <v>0</v>
      </c>
      <c r="P94" s="342"/>
      <c r="Q94" s="343"/>
      <c r="R94" s="343"/>
      <c r="S94" s="344"/>
      <c r="T94" s="188">
        <f>'Project Final Cost Tracking'!C93</f>
        <v>-6262.6500000000233</v>
      </c>
      <c r="U94" s="346">
        <f t="shared" si="28"/>
        <v>785352.16780808533</v>
      </c>
      <c r="V94" s="345">
        <f t="shared" si="21"/>
        <v>1.1115493684554205</v>
      </c>
      <c r="W94" s="346">
        <f t="shared" si="29"/>
        <v>3791961.2779444689</v>
      </c>
      <c r="X94" s="347">
        <f t="shared" si="22"/>
        <v>0</v>
      </c>
      <c r="Y94" s="303">
        <f t="shared" si="30"/>
        <v>670286.68999999994</v>
      </c>
      <c r="Z94" s="348">
        <f t="shared" si="31"/>
        <v>1.1845905812330056E-2</v>
      </c>
      <c r="AA94" s="341">
        <f t="shared" si="23"/>
        <v>9549.3006103868356</v>
      </c>
      <c r="AB94" s="231">
        <f>ROUND($C94*Allocations!$B$16,2)</f>
        <v>668135.36</v>
      </c>
      <c r="AC94" s="240">
        <f>$C94*Allocations!$B$24</f>
        <v>0</v>
      </c>
      <c r="AD94" s="244">
        <f t="shared" si="24"/>
        <v>794901.47</v>
      </c>
      <c r="AE94" s="162"/>
      <c r="AF94" s="159"/>
      <c r="AG94" s="174"/>
      <c r="AH94" s="157"/>
      <c r="AI94" s="156"/>
      <c r="AJ94" s="157"/>
      <c r="AK94" s="174"/>
      <c r="AL94" s="157"/>
      <c r="AM94" s="156"/>
      <c r="AN94" s="157"/>
      <c r="AO94" s="156"/>
      <c r="AP94" s="157"/>
      <c r="AQ94" s="156"/>
      <c r="AR94" s="157"/>
      <c r="AS94" s="156"/>
      <c r="AT94" s="157"/>
      <c r="AU94" s="156"/>
      <c r="AV94" s="157"/>
      <c r="AW94" s="158"/>
      <c r="AX94" s="159"/>
      <c r="AY94" s="156"/>
      <c r="AZ94" s="157"/>
      <c r="BA94" s="160"/>
      <c r="BB94" s="161"/>
      <c r="BC94" s="180"/>
      <c r="BD94" s="176"/>
    </row>
    <row r="95" spans="1:56" s="30" customFormat="1" ht="12.75">
      <c r="A95" s="97" t="s">
        <v>92</v>
      </c>
      <c r="B95" s="47">
        <v>91</v>
      </c>
      <c r="C95" s="245">
        <v>1.4876567255316418E-2</v>
      </c>
      <c r="D95" s="304">
        <v>851938.9426966121</v>
      </c>
      <c r="E95" s="238">
        <v>175606.91444577969</v>
      </c>
      <c r="F95" s="597">
        <v>841674.07457995531</v>
      </c>
      <c r="G95" s="238">
        <v>170267.64</v>
      </c>
      <c r="H95" s="427">
        <v>878426.21</v>
      </c>
      <c r="I95" s="388">
        <f>$C95*Allocations!$B$16</f>
        <v>856109.71529890643</v>
      </c>
      <c r="J95" s="235">
        <f t="shared" si="25"/>
        <v>3774023.4970212537</v>
      </c>
      <c r="K95" s="165">
        <f t="shared" si="26"/>
        <v>943505.87</v>
      </c>
      <c r="L95" s="809">
        <v>-493084.66</v>
      </c>
      <c r="M95" s="425">
        <f t="shared" si="27"/>
        <v>363025.05529890646</v>
      </c>
      <c r="N95" s="237">
        <f t="shared" si="19"/>
        <v>856773.7</v>
      </c>
      <c r="O95" s="238">
        <f t="shared" si="20"/>
        <v>856773.7</v>
      </c>
      <c r="P95" s="317"/>
      <c r="Q95" s="318"/>
      <c r="R95" s="318"/>
      <c r="S95" s="319"/>
      <c r="T95" s="328">
        <f>'Project Final Cost Tracking'!C94</f>
        <v>0</v>
      </c>
      <c r="U95" s="339">
        <f t="shared" si="28"/>
        <v>-493748.64470109349</v>
      </c>
      <c r="V95" s="338">
        <f t="shared" si="21"/>
        <v>-0.52331274282489992</v>
      </c>
      <c r="W95" s="339">
        <f t="shared" si="29"/>
        <v>3358745.0741439853</v>
      </c>
      <c r="X95" s="340">
        <f t="shared" si="22"/>
        <v>0</v>
      </c>
      <c r="Y95" s="237">
        <f t="shared" si="30"/>
        <v>878426.21</v>
      </c>
      <c r="Z95" s="253">
        <f t="shared" si="31"/>
        <v>1.5524333545608764E-2</v>
      </c>
      <c r="AA95" s="238">
        <f t="shared" si="23"/>
        <v>12514.579311328403</v>
      </c>
      <c r="AB95" s="236">
        <f>ROUND($C95*Allocations!$B$16,2)</f>
        <v>856109.72</v>
      </c>
      <c r="AC95" s="239">
        <f>$C95*Allocations!$B$24</f>
        <v>0</v>
      </c>
      <c r="AD95" s="242">
        <f t="shared" si="24"/>
        <v>-481234.06</v>
      </c>
      <c r="AE95" s="153"/>
      <c r="AF95" s="141"/>
      <c r="AG95" s="151"/>
      <c r="AH95" s="146"/>
      <c r="AI95" s="145"/>
      <c r="AJ95" s="146"/>
      <c r="AK95" s="151"/>
      <c r="AL95" s="146"/>
      <c r="AM95" s="145"/>
      <c r="AN95" s="146"/>
      <c r="AO95" s="145"/>
      <c r="AP95" s="146"/>
      <c r="AQ95" s="145"/>
      <c r="AR95" s="146"/>
      <c r="AS95" s="145"/>
      <c r="AT95" s="146"/>
      <c r="AU95" s="145"/>
      <c r="AV95" s="146"/>
      <c r="AW95" s="148"/>
      <c r="AX95" s="141"/>
      <c r="AY95" s="145"/>
      <c r="AZ95" s="146"/>
      <c r="BA95" s="149">
        <f>Warren!C9</f>
        <v>856773.7</v>
      </c>
      <c r="BB95" s="150">
        <f>Warren!D9</f>
        <v>856773.7</v>
      </c>
      <c r="BC95" s="179"/>
      <c r="BD95" s="176"/>
    </row>
    <row r="96" spans="1:56" s="30" customFormat="1" ht="12.75">
      <c r="A96" s="97" t="s">
        <v>93</v>
      </c>
      <c r="B96" s="47">
        <v>92</v>
      </c>
      <c r="C96" s="245">
        <v>8.0860689983908614E-3</v>
      </c>
      <c r="D96" s="237">
        <v>445943.91317235597</v>
      </c>
      <c r="E96" s="238">
        <v>91920.712486976612</v>
      </c>
      <c r="F96" s="597">
        <v>445469.13749889022</v>
      </c>
      <c r="G96" s="238">
        <v>90116.81</v>
      </c>
      <c r="H96" s="427">
        <v>407872.32</v>
      </c>
      <c r="I96" s="388">
        <f>$C96*Allocations!$B$16</f>
        <v>465333.30635303707</v>
      </c>
      <c r="J96" s="235">
        <f t="shared" si="25"/>
        <v>1946656.19951126</v>
      </c>
      <c r="K96" s="165">
        <f t="shared" si="26"/>
        <v>486664.05</v>
      </c>
      <c r="L96" s="809">
        <v>1217588.28</v>
      </c>
      <c r="M96" s="425">
        <f t="shared" si="27"/>
        <v>1682921.586353037</v>
      </c>
      <c r="N96" s="237">
        <f t="shared" si="19"/>
        <v>857116.9</v>
      </c>
      <c r="O96" s="238">
        <f t="shared" si="20"/>
        <v>857116.9</v>
      </c>
      <c r="P96" s="317"/>
      <c r="Q96" s="318"/>
      <c r="R96" s="318"/>
      <c r="S96" s="319"/>
      <c r="T96" s="328">
        <f>'Project Final Cost Tracking'!C95</f>
        <v>0</v>
      </c>
      <c r="U96" s="339">
        <f t="shared" si="28"/>
        <v>825804.68635303702</v>
      </c>
      <c r="V96" s="338">
        <f t="shared" si="21"/>
        <v>1.6968680681324972</v>
      </c>
      <c r="W96" s="339">
        <f t="shared" si="29"/>
        <v>2919804.5649417038</v>
      </c>
      <c r="X96" s="340">
        <f t="shared" si="22"/>
        <v>0</v>
      </c>
      <c r="Y96" s="237">
        <f t="shared" si="30"/>
        <v>407872.32</v>
      </c>
      <c r="Z96" s="253">
        <f t="shared" si="31"/>
        <v>7.2082843927223812E-3</v>
      </c>
      <c r="AA96" s="238">
        <f t="shared" si="23"/>
        <v>5810.7902968144799</v>
      </c>
      <c r="AB96" s="236">
        <f>ROUND($C96*Allocations!$B$16,2)</f>
        <v>465333.31</v>
      </c>
      <c r="AC96" s="239">
        <f>$C96*Allocations!$B$24</f>
        <v>0</v>
      </c>
      <c r="AD96" s="242">
        <f t="shared" si="24"/>
        <v>831615.48</v>
      </c>
      <c r="AE96" s="153"/>
      <c r="AF96" s="141"/>
      <c r="AG96" s="151"/>
      <c r="AH96" s="146"/>
      <c r="AI96" s="145"/>
      <c r="AJ96" s="146"/>
      <c r="AK96" s="151"/>
      <c r="AL96" s="146"/>
      <c r="AM96" s="145"/>
      <c r="AN96" s="146"/>
      <c r="AO96" s="145"/>
      <c r="AP96" s="146"/>
      <c r="AQ96" s="145"/>
      <c r="AR96" s="146"/>
      <c r="AS96" s="145"/>
      <c r="AT96" s="146"/>
      <c r="AU96" s="145">
        <f>Washington!C9</f>
        <v>857116.9</v>
      </c>
      <c r="AV96" s="146">
        <f>Washington!D9</f>
        <v>857116.9</v>
      </c>
      <c r="AW96" s="148"/>
      <c r="AX96" s="141"/>
      <c r="AY96" s="145"/>
      <c r="AZ96" s="146"/>
      <c r="BA96" s="149"/>
      <c r="BB96" s="150"/>
      <c r="BC96" s="179"/>
      <c r="BD96" s="176"/>
    </row>
    <row r="97" spans="1:56" ht="13.15" customHeight="1">
      <c r="A97" s="97" t="s">
        <v>94</v>
      </c>
      <c r="B97" s="47">
        <v>93</v>
      </c>
      <c r="C97" s="245">
        <v>5.0208872535197312E-3</v>
      </c>
      <c r="D97" s="237">
        <v>330693.17806878517</v>
      </c>
      <c r="E97" s="238">
        <v>68164.519449146042</v>
      </c>
      <c r="F97" s="597">
        <v>298025.94596490619</v>
      </c>
      <c r="G97" s="238">
        <v>60289.58</v>
      </c>
      <c r="H97" s="427">
        <v>280653.37</v>
      </c>
      <c r="I97" s="388">
        <f>$C97*Allocations!$B$16</f>
        <v>288939.66486943158</v>
      </c>
      <c r="J97" s="235">
        <f t="shared" si="25"/>
        <v>1326766.258352269</v>
      </c>
      <c r="K97" s="165">
        <f t="shared" si="26"/>
        <v>331691.56</v>
      </c>
      <c r="L97" s="809">
        <v>465668.22</v>
      </c>
      <c r="M97" s="425">
        <f t="shared" si="27"/>
        <v>754607.88486943161</v>
      </c>
      <c r="N97" s="237">
        <f t="shared" si="19"/>
        <v>626193.72</v>
      </c>
      <c r="O97" s="238">
        <f t="shared" si="20"/>
        <v>626193.72</v>
      </c>
      <c r="P97" s="317"/>
      <c r="Q97" s="318"/>
      <c r="R97" s="318"/>
      <c r="S97" s="319"/>
      <c r="T97" s="328">
        <f>'Project Final Cost Tracking'!C96</f>
        <v>0</v>
      </c>
      <c r="U97" s="339">
        <f t="shared" si="28"/>
        <v>128414.16486943164</v>
      </c>
      <c r="V97" s="338">
        <f t="shared" si="21"/>
        <v>0.3871493289411152</v>
      </c>
      <c r="W97" s="339">
        <f t="shared" si="29"/>
        <v>1428642.6567818737</v>
      </c>
      <c r="X97" s="340">
        <f t="shared" si="22"/>
        <v>0</v>
      </c>
      <c r="Y97" s="237">
        <f t="shared" si="30"/>
        <v>280653.37</v>
      </c>
      <c r="Z97" s="253">
        <f t="shared" si="31"/>
        <v>4.9599573384532187E-3</v>
      </c>
      <c r="AA97" s="238">
        <f t="shared" si="23"/>
        <v>3998.3538945822161</v>
      </c>
      <c r="AB97" s="236">
        <f>ROUND($C97*Allocations!$B$16,2)</f>
        <v>288939.65999999997</v>
      </c>
      <c r="AC97" s="239">
        <f>$C97*Allocations!$B$24</f>
        <v>0</v>
      </c>
      <c r="AD97" s="242">
        <f t="shared" si="24"/>
        <v>132412.51</v>
      </c>
      <c r="AE97" s="153"/>
      <c r="AF97" s="141"/>
      <c r="AG97" s="151"/>
      <c r="AH97" s="146"/>
      <c r="AI97" s="145">
        <f>Wayne!C5</f>
        <v>626193.72</v>
      </c>
      <c r="AJ97" s="146">
        <f>Wayne!D5</f>
        <v>626193.72</v>
      </c>
      <c r="AK97" s="151"/>
      <c r="AL97" s="146"/>
      <c r="AM97" s="145"/>
      <c r="AN97" s="146"/>
      <c r="AO97" s="145"/>
      <c r="AP97" s="146"/>
      <c r="AQ97" s="145"/>
      <c r="AR97" s="146"/>
      <c r="AS97" s="145"/>
      <c r="AT97" s="146"/>
      <c r="AU97" s="145"/>
      <c r="AV97" s="146"/>
      <c r="AW97" s="148"/>
      <c r="AX97" s="141"/>
      <c r="AY97" s="145"/>
      <c r="AZ97" s="146"/>
      <c r="BA97" s="149"/>
      <c r="BB97" s="150"/>
      <c r="BC97" s="179"/>
      <c r="BD97" s="176"/>
    </row>
    <row r="98" spans="1:56" ht="13.15" customHeight="1">
      <c r="A98" s="97" t="s">
        <v>95</v>
      </c>
      <c r="B98" s="47">
        <v>94</v>
      </c>
      <c r="C98" s="245">
        <v>1.305869138636956E-2</v>
      </c>
      <c r="D98" s="237">
        <v>737894.28784967528</v>
      </c>
      <c r="E98" s="238">
        <v>152099.32611636998</v>
      </c>
      <c r="F98" s="597">
        <v>803143.57086850109</v>
      </c>
      <c r="G98" s="238">
        <v>162473.06</v>
      </c>
      <c r="H98" s="427">
        <v>812836.44</v>
      </c>
      <c r="I98" s="388">
        <f>$C98*Allocations!$B$16</f>
        <v>751495.44737653527</v>
      </c>
      <c r="J98" s="235">
        <f t="shared" si="25"/>
        <v>3419942.1322110817</v>
      </c>
      <c r="K98" s="165">
        <f t="shared" si="26"/>
        <v>854985.53</v>
      </c>
      <c r="L98" s="809">
        <v>981670.40000000002</v>
      </c>
      <c r="M98" s="425">
        <f t="shared" si="27"/>
        <v>1733165.8473765352</v>
      </c>
      <c r="N98" s="237">
        <f t="shared" si="19"/>
        <v>0</v>
      </c>
      <c r="O98" s="238">
        <f t="shared" si="20"/>
        <v>0</v>
      </c>
      <c r="P98" s="317"/>
      <c r="Q98" s="318"/>
      <c r="R98" s="318"/>
      <c r="S98" s="319"/>
      <c r="T98" s="328">
        <f>'Project Final Cost Tracking'!C97</f>
        <v>0</v>
      </c>
      <c r="U98" s="339">
        <f t="shared" si="28"/>
        <v>1733165.8473765352</v>
      </c>
      <c r="V98" s="338">
        <f t="shared" si="21"/>
        <v>2.0271288654166288</v>
      </c>
      <c r="W98" s="339">
        <f t="shared" si="29"/>
        <v>5114895.3605709439</v>
      </c>
      <c r="X98" s="340">
        <f t="shared" si="22"/>
        <v>0</v>
      </c>
      <c r="Y98" s="237">
        <f t="shared" si="30"/>
        <v>812836.44</v>
      </c>
      <c r="Z98" s="253">
        <f t="shared" si="31"/>
        <v>1.4365172474288085E-2</v>
      </c>
      <c r="AA98" s="238">
        <f t="shared" si="23"/>
        <v>11580.148656445293</v>
      </c>
      <c r="AB98" s="236">
        <f>ROUND($C98*Allocations!$B$16,2)</f>
        <v>751495.45</v>
      </c>
      <c r="AC98" s="239">
        <f>$C98*Allocations!$B$24</f>
        <v>0</v>
      </c>
      <c r="AD98" s="242">
        <f t="shared" si="24"/>
        <v>1744746</v>
      </c>
      <c r="AE98" s="153"/>
      <c r="AF98" s="141"/>
      <c r="AG98" s="151"/>
      <c r="AH98" s="146"/>
      <c r="AI98" s="145"/>
      <c r="AJ98" s="146"/>
      <c r="AK98" s="151"/>
      <c r="AL98" s="146"/>
      <c r="AM98" s="145"/>
      <c r="AN98" s="146"/>
      <c r="AO98" s="145"/>
      <c r="AP98" s="146"/>
      <c r="AQ98" s="145"/>
      <c r="AR98" s="146"/>
      <c r="AS98" s="145"/>
      <c r="AT98" s="146"/>
      <c r="AU98" s="145"/>
      <c r="AV98" s="146"/>
      <c r="AW98" s="148"/>
      <c r="AX98" s="141"/>
      <c r="AY98" s="145"/>
      <c r="AZ98" s="146"/>
      <c r="BA98" s="149"/>
      <c r="BB98" s="150"/>
      <c r="BC98" s="179"/>
      <c r="BD98" s="176"/>
    </row>
    <row r="99" spans="1:56" ht="13.15" customHeight="1">
      <c r="A99" s="98" t="s">
        <v>96</v>
      </c>
      <c r="B99" s="46">
        <v>95</v>
      </c>
      <c r="C99" s="246">
        <v>3.1832112018327203E-3</v>
      </c>
      <c r="D99" s="303">
        <v>182056.20887171524</v>
      </c>
      <c r="E99" s="341">
        <v>37526.549724870827</v>
      </c>
      <c r="F99" s="595">
        <v>193488.29123723489</v>
      </c>
      <c r="G99" s="341">
        <v>39141.99</v>
      </c>
      <c r="H99" s="428">
        <v>158740.45000000001</v>
      </c>
      <c r="I99" s="389">
        <f>$C99*Allocations!$B$16</f>
        <v>183185.94531701572</v>
      </c>
      <c r="J99" s="385">
        <f t="shared" si="25"/>
        <v>794139.43515083671</v>
      </c>
      <c r="K99" s="168">
        <f t="shared" si="26"/>
        <v>198534.86</v>
      </c>
      <c r="L99" s="810">
        <v>-163989.44</v>
      </c>
      <c r="M99" s="426">
        <f t="shared" si="27"/>
        <v>19196.505317015719</v>
      </c>
      <c r="N99" s="303">
        <f t="shared" si="19"/>
        <v>0</v>
      </c>
      <c r="O99" s="341">
        <f t="shared" si="20"/>
        <v>0</v>
      </c>
      <c r="P99" s="342"/>
      <c r="Q99" s="343"/>
      <c r="R99" s="343"/>
      <c r="S99" s="344"/>
      <c r="T99" s="188">
        <f>'Project Final Cost Tracking'!C98</f>
        <v>-3011.710000000021</v>
      </c>
      <c r="U99" s="346">
        <f t="shared" si="28"/>
        <v>22208.21531701574</v>
      </c>
      <c r="V99" s="345">
        <f t="shared" si="21"/>
        <v>0.11186053329382931</v>
      </c>
      <c r="W99" s="346">
        <f t="shared" si="29"/>
        <v>846544.96924358653</v>
      </c>
      <c r="X99" s="347">
        <f t="shared" si="22"/>
        <v>0</v>
      </c>
      <c r="Y99" s="303">
        <f t="shared" si="30"/>
        <v>158740.45000000001</v>
      </c>
      <c r="Z99" s="348">
        <f t="shared" si="31"/>
        <v>2.8054031914416934E-3</v>
      </c>
      <c r="AA99" s="341">
        <f t="shared" si="23"/>
        <v>2261.5103338514468</v>
      </c>
      <c r="AB99" s="231">
        <f>ROUND($C99*Allocations!$B$16,2)</f>
        <v>183185.95</v>
      </c>
      <c r="AC99" s="240">
        <f>$C99*Allocations!$B$24</f>
        <v>0</v>
      </c>
      <c r="AD99" s="244">
        <f t="shared" si="24"/>
        <v>24469.73</v>
      </c>
      <c r="AE99" s="162"/>
      <c r="AF99" s="159"/>
      <c r="AG99" s="174"/>
      <c r="AH99" s="157"/>
      <c r="AI99" s="156"/>
      <c r="AJ99" s="157"/>
      <c r="AK99" s="174"/>
      <c r="AL99" s="157"/>
      <c r="AM99" s="156"/>
      <c r="AN99" s="157"/>
      <c r="AO99" s="156"/>
      <c r="AP99" s="157"/>
      <c r="AQ99" s="156"/>
      <c r="AR99" s="157"/>
      <c r="AS99" s="156"/>
      <c r="AT99" s="157"/>
      <c r="AU99" s="156"/>
      <c r="AV99" s="157"/>
      <c r="AW99" s="158"/>
      <c r="AX99" s="159"/>
      <c r="AY99" s="156"/>
      <c r="AZ99" s="157"/>
      <c r="BA99" s="160"/>
      <c r="BB99" s="161"/>
      <c r="BC99" s="180"/>
      <c r="BD99" s="176"/>
    </row>
    <row r="100" spans="1:56" ht="13.15" customHeight="1">
      <c r="A100" s="97" t="s">
        <v>97</v>
      </c>
      <c r="B100" s="47">
        <v>96</v>
      </c>
      <c r="C100" s="245">
        <v>1.1076177257371846E-2</v>
      </c>
      <c r="D100" s="237">
        <v>773913.91331916733</v>
      </c>
      <c r="E100" s="238">
        <v>159523.91369088431</v>
      </c>
      <c r="F100" s="597">
        <v>717900.32219814032</v>
      </c>
      <c r="G100" s="238">
        <v>145228.66</v>
      </c>
      <c r="H100" s="427">
        <v>642020.15</v>
      </c>
      <c r="I100" s="388">
        <f>$C100*Allocations!$B$16</f>
        <v>637406.65408010129</v>
      </c>
      <c r="J100" s="235">
        <f t="shared" si="25"/>
        <v>3075993.6132882931</v>
      </c>
      <c r="K100" s="165">
        <f t="shared" si="26"/>
        <v>768998.40000000002</v>
      </c>
      <c r="L100" s="809">
        <v>-1415068.43</v>
      </c>
      <c r="M100" s="425">
        <f t="shared" si="27"/>
        <v>-777661.77591989865</v>
      </c>
      <c r="N100" s="237">
        <f t="shared" si="19"/>
        <v>0</v>
      </c>
      <c r="O100" s="238">
        <f t="shared" si="20"/>
        <v>0</v>
      </c>
      <c r="P100" s="317"/>
      <c r="Q100" s="318"/>
      <c r="R100" s="318"/>
      <c r="S100" s="319"/>
      <c r="T100" s="328">
        <f>'Project Final Cost Tracking'!C99</f>
        <v>0</v>
      </c>
      <c r="U100" s="339">
        <f t="shared" si="28"/>
        <v>-777661.77591989865</v>
      </c>
      <c r="V100" s="338">
        <f t="shared" si="21"/>
        <v>-1.0112657918662751</v>
      </c>
      <c r="W100" s="339">
        <f t="shared" si="29"/>
        <v>2090668.1674405572</v>
      </c>
      <c r="X100" s="340">
        <f t="shared" si="22"/>
        <v>0</v>
      </c>
      <c r="Y100" s="237">
        <f t="shared" si="30"/>
        <v>642020.15</v>
      </c>
      <c r="Z100" s="253">
        <f t="shared" si="31"/>
        <v>1.1346354239136115E-2</v>
      </c>
      <c r="AA100" s="238">
        <f t="shared" si="23"/>
        <v>9146.5987639940286</v>
      </c>
      <c r="AB100" s="236">
        <f>ROUND($C100*Allocations!$B$16,2)</f>
        <v>637406.65</v>
      </c>
      <c r="AC100" s="239">
        <f>$C100*Allocations!$B$24</f>
        <v>0</v>
      </c>
      <c r="AD100" s="242">
        <f t="shared" si="24"/>
        <v>-768515.18</v>
      </c>
      <c r="AE100" s="153"/>
      <c r="AF100" s="141"/>
      <c r="AG100" s="198"/>
      <c r="AH100" s="147"/>
      <c r="AI100" s="145"/>
      <c r="AJ100" s="146"/>
      <c r="AK100" s="151"/>
      <c r="AL100" s="146"/>
      <c r="AM100" s="145"/>
      <c r="AN100" s="146"/>
      <c r="AO100" s="145"/>
      <c r="AP100" s="147"/>
      <c r="AQ100" s="145"/>
      <c r="AR100" s="146"/>
      <c r="AS100" s="145"/>
      <c r="AT100" s="146"/>
      <c r="AU100" s="145"/>
      <c r="AV100" s="146"/>
      <c r="AW100" s="148"/>
      <c r="AX100" s="141"/>
      <c r="AY100" s="145"/>
      <c r="AZ100" s="146"/>
      <c r="BA100" s="149"/>
      <c r="BB100" s="150"/>
      <c r="BC100" s="179"/>
      <c r="BD100" s="176"/>
    </row>
    <row r="101" spans="1:56" ht="13.15" customHeight="1">
      <c r="A101" s="97" t="s">
        <v>98</v>
      </c>
      <c r="B101" s="47">
        <v>97</v>
      </c>
      <c r="C101" s="245">
        <v>2.0168285920159672E-2</v>
      </c>
      <c r="D101" s="237">
        <v>1028516.5963932099</v>
      </c>
      <c r="E101" s="238">
        <v>212004.1905552455</v>
      </c>
      <c r="F101" s="597">
        <v>1075096.063453597</v>
      </c>
      <c r="G101" s="238">
        <v>217488.07</v>
      </c>
      <c r="H101" s="427">
        <v>1171343.8999999999</v>
      </c>
      <c r="I101" s="388">
        <f>$C101*Allocations!$B$16</f>
        <v>1160635.0592072522</v>
      </c>
      <c r="J101" s="235">
        <f t="shared" si="25"/>
        <v>4865083.8796093045</v>
      </c>
      <c r="K101" s="165">
        <f t="shared" si="26"/>
        <v>1216270.97</v>
      </c>
      <c r="L101" s="809">
        <v>865119.16</v>
      </c>
      <c r="M101" s="425">
        <f t="shared" si="27"/>
        <v>2025754.2192072524</v>
      </c>
      <c r="N101" s="237">
        <f t="shared" si="19"/>
        <v>3018901.9</v>
      </c>
      <c r="O101" s="238">
        <f t="shared" si="20"/>
        <v>2267383.9500000002</v>
      </c>
      <c r="P101" s="317"/>
      <c r="Q101" s="318"/>
      <c r="R101" s="318"/>
      <c r="S101" s="319"/>
      <c r="T101" s="328">
        <f>'Project Final Cost Tracking'!C100</f>
        <v>32784.98000000004</v>
      </c>
      <c r="U101" s="339">
        <f t="shared" si="28"/>
        <v>-274414.71079274785</v>
      </c>
      <c r="V101" s="338">
        <f t="shared" si="21"/>
        <v>-0.22561971596900637</v>
      </c>
      <c r="W101" s="339">
        <f t="shared" si="29"/>
        <v>4948443.0556398872</v>
      </c>
      <c r="X101" s="340">
        <f t="shared" si="22"/>
        <v>0</v>
      </c>
      <c r="Y101" s="237">
        <f t="shared" si="30"/>
        <v>1171343.8999999999</v>
      </c>
      <c r="Z101" s="253">
        <f t="shared" si="31"/>
        <v>2.0701036914886905E-2</v>
      </c>
      <c r="AA101" s="238">
        <f t="shared" si="23"/>
        <v>16687.657962062316</v>
      </c>
      <c r="AB101" s="236">
        <f>ROUND($C101*Allocations!$B$16,2)</f>
        <v>1160635.06</v>
      </c>
      <c r="AC101" s="239">
        <f>$C101*Allocations!$B$24</f>
        <v>0</v>
      </c>
      <c r="AD101" s="242">
        <f t="shared" si="24"/>
        <v>-257727.05</v>
      </c>
      <c r="AE101" s="153"/>
      <c r="AF101" s="141"/>
      <c r="AG101" s="151"/>
      <c r="AH101" s="146"/>
      <c r="AI101" s="145">
        <f>Woodbury!C12</f>
        <v>1372445.3</v>
      </c>
      <c r="AJ101" s="146">
        <f>Woodbury!D12</f>
        <v>1372445.3</v>
      </c>
      <c r="AK101" s="151">
        <f>Woodbury!C13</f>
        <v>751517.95</v>
      </c>
      <c r="AL101" s="146">
        <f>Woodbury!D13</f>
        <v>0</v>
      </c>
      <c r="AM101" s="145">
        <f>Woodbury!C14</f>
        <v>894938.65</v>
      </c>
      <c r="AN101" s="146">
        <f>Woodbury!D14</f>
        <v>894938.65</v>
      </c>
      <c r="AO101" s="145"/>
      <c r="AP101" s="146"/>
      <c r="AQ101" s="145"/>
      <c r="AR101" s="146"/>
      <c r="AS101" s="145"/>
      <c r="AT101" s="146"/>
      <c r="AU101" s="145"/>
      <c r="AV101" s="146"/>
      <c r="AW101" s="148"/>
      <c r="AX101" s="141"/>
      <c r="AY101" s="145"/>
      <c r="AZ101" s="146"/>
      <c r="BA101" s="149"/>
      <c r="BB101" s="150"/>
      <c r="BC101" s="179"/>
      <c r="BD101" s="176"/>
    </row>
    <row r="102" spans="1:56" ht="13.15" customHeight="1">
      <c r="A102" s="97" t="s">
        <v>99</v>
      </c>
      <c r="B102" s="47">
        <v>98</v>
      </c>
      <c r="C102" s="245">
        <v>4.4305778024089785E-3</v>
      </c>
      <c r="D102" s="237">
        <v>258053.66682428442</v>
      </c>
      <c r="E102" s="238">
        <v>53191.614940144296</v>
      </c>
      <c r="F102" s="597">
        <v>232546.38207642795</v>
      </c>
      <c r="G102" s="238">
        <v>47043.3</v>
      </c>
      <c r="H102" s="427">
        <v>250473.91</v>
      </c>
      <c r="I102" s="388">
        <f>$C102*Allocations!$B$16</f>
        <v>254968.81343204257</v>
      </c>
      <c r="J102" s="235">
        <f t="shared" si="25"/>
        <v>1096277.6872728993</v>
      </c>
      <c r="K102" s="165">
        <f t="shared" si="26"/>
        <v>274069.42</v>
      </c>
      <c r="L102" s="809">
        <v>35956.86</v>
      </c>
      <c r="M102" s="425">
        <f t="shared" si="27"/>
        <v>290925.67343204259</v>
      </c>
      <c r="N102" s="237">
        <f t="shared" si="19"/>
        <v>0</v>
      </c>
      <c r="O102" s="238">
        <f t="shared" si="20"/>
        <v>0</v>
      </c>
      <c r="P102" s="317"/>
      <c r="Q102" s="318"/>
      <c r="R102" s="318"/>
      <c r="S102" s="319"/>
      <c r="T102" s="328">
        <f>'Project Final Cost Tracking'!C101</f>
        <v>0</v>
      </c>
      <c r="U102" s="339">
        <f t="shared" si="28"/>
        <v>290925.67343204259</v>
      </c>
      <c r="V102" s="338">
        <f t="shared" si="21"/>
        <v>1.0615035907035619</v>
      </c>
      <c r="W102" s="339">
        <f t="shared" si="29"/>
        <v>1438285.3338762342</v>
      </c>
      <c r="X102" s="340">
        <f t="shared" si="22"/>
        <v>0</v>
      </c>
      <c r="Y102" s="237">
        <f t="shared" si="30"/>
        <v>250473.91</v>
      </c>
      <c r="Z102" s="253">
        <f t="shared" si="31"/>
        <v>4.4265989323255626E-3</v>
      </c>
      <c r="AA102" s="238">
        <f t="shared" si="23"/>
        <v>3568.3994585197229</v>
      </c>
      <c r="AB102" s="236">
        <f>ROUND($C102*Allocations!$B$16,2)</f>
        <v>254968.81</v>
      </c>
      <c r="AC102" s="239">
        <f>$C102*Allocations!$B$24</f>
        <v>0</v>
      </c>
      <c r="AD102" s="242">
        <f t="shared" si="24"/>
        <v>294494.07</v>
      </c>
      <c r="AE102" s="153"/>
      <c r="AF102" s="141"/>
      <c r="AG102" s="151"/>
      <c r="AH102" s="146"/>
      <c r="AI102" s="145"/>
      <c r="AJ102" s="146"/>
      <c r="AK102" s="151"/>
      <c r="AL102" s="146"/>
      <c r="AM102" s="145"/>
      <c r="AN102" s="146"/>
      <c r="AO102" s="145"/>
      <c r="AP102" s="146"/>
      <c r="AQ102" s="145"/>
      <c r="AR102" s="146"/>
      <c r="AS102" s="145"/>
      <c r="AT102" s="146"/>
      <c r="AU102" s="145"/>
      <c r="AV102" s="146"/>
      <c r="AW102" s="148"/>
      <c r="AX102" s="141"/>
      <c r="AY102" s="145"/>
      <c r="AZ102" s="146"/>
      <c r="BA102" s="149"/>
      <c r="BB102" s="150"/>
      <c r="BC102" s="179"/>
      <c r="BD102" s="176"/>
    </row>
    <row r="103" spans="1:56" ht="13.15" customHeight="1">
      <c r="A103" s="98" t="s">
        <v>100</v>
      </c>
      <c r="B103" s="46">
        <v>99</v>
      </c>
      <c r="C103" s="245">
        <v>9.7985626601011684E-3</v>
      </c>
      <c r="D103" s="303">
        <v>557672.71581265097</v>
      </c>
      <c r="E103" s="341">
        <v>114950.94306228062</v>
      </c>
      <c r="F103" s="597">
        <v>565982.29342356045</v>
      </c>
      <c r="G103" s="341">
        <v>114496.18</v>
      </c>
      <c r="H103" s="428">
        <v>558821.21</v>
      </c>
      <c r="I103" s="389">
        <f>$C103*Allocations!$B$16</f>
        <v>563883.0884376145</v>
      </c>
      <c r="J103" s="385">
        <f t="shared" si="25"/>
        <v>2475806.4307361068</v>
      </c>
      <c r="K103" s="168">
        <f t="shared" si="26"/>
        <v>618951.61</v>
      </c>
      <c r="L103" s="811">
        <v>1332660.71</v>
      </c>
      <c r="M103" s="425">
        <f t="shared" si="27"/>
        <v>1896543.7984376145</v>
      </c>
      <c r="N103" s="237">
        <f t="shared" si="19"/>
        <v>743721.19</v>
      </c>
      <c r="O103" s="238">
        <f t="shared" si="20"/>
        <v>743721.19</v>
      </c>
      <c r="P103" s="342"/>
      <c r="Q103" s="343"/>
      <c r="R103" s="343"/>
      <c r="S103" s="344"/>
      <c r="T103" s="328">
        <f>'Project Final Cost Tracking'!C102</f>
        <v>17689.430000000051</v>
      </c>
      <c r="U103" s="339">
        <f t="shared" si="28"/>
        <v>1135133.1784376143</v>
      </c>
      <c r="V103" s="345">
        <f t="shared" si="21"/>
        <v>1.8339611047099698</v>
      </c>
      <c r="W103" s="346">
        <f t="shared" si="29"/>
        <v>3672607.0764068798</v>
      </c>
      <c r="X103" s="340">
        <f t="shared" si="22"/>
        <v>0</v>
      </c>
      <c r="Y103" s="237">
        <f t="shared" si="30"/>
        <v>558821.21</v>
      </c>
      <c r="Z103" s="348">
        <f t="shared" si="31"/>
        <v>9.8759881679767719E-3</v>
      </c>
      <c r="AA103" s="238">
        <f t="shared" si="23"/>
        <v>7961.2974587785866</v>
      </c>
      <c r="AB103" s="236">
        <f>ROUND($C103*Allocations!$B$16,2)</f>
        <v>563883.09</v>
      </c>
      <c r="AC103" s="239">
        <f>$C103*Allocations!$B$24</f>
        <v>0</v>
      </c>
      <c r="AD103" s="242">
        <f t="shared" si="24"/>
        <v>1143094.48</v>
      </c>
      <c r="AE103" s="162"/>
      <c r="AF103" s="159"/>
      <c r="AG103" s="174"/>
      <c r="AH103" s="157"/>
      <c r="AI103" s="156"/>
      <c r="AJ103" s="157"/>
      <c r="AK103" s="174"/>
      <c r="AL103" s="157"/>
      <c r="AM103" s="156">
        <f>Wright!C7</f>
        <v>186029.75</v>
      </c>
      <c r="AN103" s="157">
        <f>Wright!D7</f>
        <v>186029.75</v>
      </c>
      <c r="AO103" s="156">
        <f>Wright!C8</f>
        <v>557691.43999999994</v>
      </c>
      <c r="AP103" s="157">
        <f>Wright!D8</f>
        <v>557691.43999999994</v>
      </c>
      <c r="AQ103" s="156"/>
      <c r="AR103" s="157"/>
      <c r="AS103" s="156"/>
      <c r="AT103" s="157"/>
      <c r="AU103" s="156"/>
      <c r="AV103" s="157"/>
      <c r="AW103" s="158"/>
      <c r="AX103" s="159"/>
      <c r="AY103" s="156"/>
      <c r="AZ103" s="157"/>
      <c r="BA103" s="160"/>
      <c r="BB103" s="161"/>
      <c r="BC103" s="180"/>
      <c r="BD103" s="176"/>
    </row>
    <row r="104" spans="1:56" ht="12" thickBot="1">
      <c r="B104" s="45"/>
      <c r="C104" s="247">
        <f t="shared" ref="C104:U104" si="32">SUM(C5:C103)</f>
        <v>1.0000000000000002</v>
      </c>
      <c r="D104" s="302">
        <f t="shared" si="32"/>
        <v>56471448.000000015</v>
      </c>
      <c r="E104" s="378">
        <f t="shared" si="32"/>
        <v>11640243.497000003</v>
      </c>
      <c r="F104" s="383">
        <f>SUM(F5:F103)</f>
        <v>57390411.000000007</v>
      </c>
      <c r="G104" s="651">
        <f>SUM(G5:G103)</f>
        <v>11609874.010000004</v>
      </c>
      <c r="H104" s="652">
        <f>SUM(H5:H103)</f>
        <v>57781622.000000022</v>
      </c>
      <c r="I104" s="387">
        <f>SUM(I5:I103)</f>
        <v>57547530.999999993</v>
      </c>
      <c r="J104" s="386">
        <f t="shared" si="32"/>
        <v>252441129.50700003</v>
      </c>
      <c r="K104" s="350">
        <f t="shared" si="32"/>
        <v>63110282.410000011</v>
      </c>
      <c r="L104" s="351">
        <f>SUM(L5:L103)</f>
        <v>65235647.18</v>
      </c>
      <c r="M104" s="352">
        <f t="shared" si="32"/>
        <v>122783178.17999998</v>
      </c>
      <c r="N104" s="330">
        <f t="shared" si="32"/>
        <v>52317402.550000012</v>
      </c>
      <c r="O104" s="353">
        <f t="shared" si="32"/>
        <v>48060829.886000015</v>
      </c>
      <c r="P104" s="354">
        <f>SUM(P5:P103)</f>
        <v>0</v>
      </c>
      <c r="Q104" s="355">
        <f>SUM(Q5:Q103)</f>
        <v>0</v>
      </c>
      <c r="R104" s="355">
        <f>SUM(R5:R103)</f>
        <v>0</v>
      </c>
      <c r="S104" s="356">
        <f>SUM(S5:S103)</f>
        <v>0</v>
      </c>
      <c r="T104" s="357">
        <f t="shared" si="32"/>
        <v>413302.27000000031</v>
      </c>
      <c r="U104" s="358">
        <f t="shared" si="32"/>
        <v>74309046.023999989</v>
      </c>
      <c r="V104" s="359"/>
      <c r="W104" s="360"/>
      <c r="X104" s="252">
        <f t="shared" ref="X104:AD104" si="33">SUM(X5:X103)</f>
        <v>806126.67040178971</v>
      </c>
      <c r="Y104" s="329">
        <f t="shared" si="33"/>
        <v>56583827.410000019</v>
      </c>
      <c r="Z104" s="361">
        <f t="shared" si="33"/>
        <v>0.99999999999999967</v>
      </c>
      <c r="AA104" s="330">
        <f t="shared" si="33"/>
        <v>806126.67040178983</v>
      </c>
      <c r="AB104" s="248">
        <f t="shared" si="33"/>
        <v>57547531.010000028</v>
      </c>
      <c r="AC104" s="249">
        <f>SUM(AC5:AC103)</f>
        <v>0</v>
      </c>
      <c r="AD104" s="250">
        <f t="shared" si="33"/>
        <v>74309046.029999986</v>
      </c>
      <c r="AE104" s="44">
        <f t="shared" ref="AE104:BC104" si="34">SUM(AE5:AE103)</f>
        <v>2749109.79</v>
      </c>
      <c r="AF104" s="43">
        <f t="shared" si="34"/>
        <v>2747109.79</v>
      </c>
      <c r="AG104" s="42">
        <f t="shared" si="34"/>
        <v>4204749.79</v>
      </c>
      <c r="AH104" s="37">
        <f t="shared" si="34"/>
        <v>4204749.79</v>
      </c>
      <c r="AI104" s="592">
        <f>SUM(AI5:AI103)</f>
        <v>10625942.340000002</v>
      </c>
      <c r="AJ104" s="39">
        <f t="shared" si="34"/>
        <v>10625942.340000002</v>
      </c>
      <c r="AK104" s="38">
        <f t="shared" si="34"/>
        <v>10830977.569999998</v>
      </c>
      <c r="AL104" s="37">
        <f t="shared" si="34"/>
        <v>10079459.619999999</v>
      </c>
      <c r="AM104" s="40">
        <f t="shared" si="34"/>
        <v>4401597.5600000005</v>
      </c>
      <c r="AN104" s="39">
        <f t="shared" si="34"/>
        <v>4381597.5600000005</v>
      </c>
      <c r="AO104" s="38">
        <f t="shared" si="34"/>
        <v>1763978.69</v>
      </c>
      <c r="AP104" s="37">
        <f t="shared" si="34"/>
        <v>1763978.69</v>
      </c>
      <c r="AQ104" s="38">
        <f t="shared" si="34"/>
        <v>5328624.8699999992</v>
      </c>
      <c r="AR104" s="41">
        <f t="shared" si="34"/>
        <v>4368624.8699999992</v>
      </c>
      <c r="AS104" s="38">
        <f t="shared" si="34"/>
        <v>3804119.91</v>
      </c>
      <c r="AT104" s="37">
        <f t="shared" si="34"/>
        <v>2561025.66</v>
      </c>
      <c r="AU104" s="40">
        <f t="shared" si="34"/>
        <v>1363105.5</v>
      </c>
      <c r="AV104" s="39">
        <f t="shared" si="34"/>
        <v>1363105.5</v>
      </c>
      <c r="AW104" s="39">
        <f t="shared" si="34"/>
        <v>0</v>
      </c>
      <c r="AX104" s="39">
        <f t="shared" si="34"/>
        <v>0</v>
      </c>
      <c r="AY104" s="40">
        <f t="shared" si="34"/>
        <v>2630723.4300000002</v>
      </c>
      <c r="AZ104" s="39">
        <f t="shared" si="34"/>
        <v>1350762.966</v>
      </c>
      <c r="BA104" s="36">
        <f t="shared" si="34"/>
        <v>4614473.0999999996</v>
      </c>
      <c r="BB104" s="35">
        <f t="shared" si="34"/>
        <v>4614473.0999999996</v>
      </c>
      <c r="BC104" s="35">
        <f t="shared" si="34"/>
        <v>0</v>
      </c>
    </row>
    <row r="105" spans="1:56" ht="12" thickTop="1">
      <c r="F105" s="380"/>
      <c r="G105" s="380"/>
      <c r="H105" s="307"/>
      <c r="I105" s="307"/>
      <c r="J105" s="309"/>
      <c r="L105" s="362"/>
      <c r="T105" s="255"/>
      <c r="AF105" s="34">
        <f>IF(AE104=0,0,(AF104/AE104)*100)</f>
        <v>99.927249176905377</v>
      </c>
      <c r="AH105" s="32">
        <f>IF(AG104=0,0,(AH104/AG104)*100)</f>
        <v>100</v>
      </c>
      <c r="AJ105" s="32">
        <f>IF(AI104=0,0,(AJ104/AI104)*100)</f>
        <v>100</v>
      </c>
      <c r="AL105" s="32">
        <f>IF(AK104=0,0,(AL104/AK104)*100)</f>
        <v>93.061402397493836</v>
      </c>
      <c r="AN105" s="33">
        <f>IF(AM104=0,0,(AN104/AM104)*100)</f>
        <v>99.545619522744374</v>
      </c>
      <c r="AP105" s="32">
        <f>IF(AO104=0,0,(AP104/AO104)*100)</f>
        <v>100</v>
      </c>
      <c r="AR105" s="32">
        <f>IF(AQ104=0,0,(AR104/AQ104)*100)</f>
        <v>81.984094894636485</v>
      </c>
      <c r="AT105" s="32">
        <f>IF(AS104=0,0,(AT104/AS104)*100)</f>
        <v>67.322422021129185</v>
      </c>
      <c r="AV105" s="32">
        <f>IF(AU104=0,0,(AV104/AU104)*100)</f>
        <v>100</v>
      </c>
      <c r="AX105" s="114">
        <f>IF(AW104=0,0,(AX104/AW104)*100)</f>
        <v>0</v>
      </c>
      <c r="AZ105" s="32">
        <f>IF(AY104=0,0,(AZ104/AY104)*100)</f>
        <v>51.345685015623246</v>
      </c>
      <c r="BB105" s="32">
        <f>IF(BA104=0,0,(BB104/BA104)*100)</f>
        <v>100</v>
      </c>
      <c r="BC105" s="28"/>
    </row>
    <row r="106" spans="1:56" ht="15" customHeight="1">
      <c r="J106" s="312"/>
      <c r="X106" s="314"/>
      <c r="Y106" s="367"/>
      <c r="AO106" s="210"/>
      <c r="AP106" s="210"/>
    </row>
    <row r="107" spans="1:56" ht="12.75" customHeight="1">
      <c r="X107" s="314"/>
      <c r="Y107" s="367"/>
      <c r="AB107" s="331"/>
      <c r="AO107" s="210"/>
      <c r="AP107" s="210"/>
    </row>
    <row r="108" spans="1:56" ht="12.75" customHeight="1">
      <c r="AO108" s="211"/>
      <c r="AP108" s="211"/>
      <c r="AR108" s="316"/>
    </row>
    <row r="109" spans="1:56" ht="12.75" customHeight="1">
      <c r="AO109" s="211"/>
      <c r="AP109" s="211"/>
    </row>
    <row r="110" spans="1:56" ht="12.75" customHeight="1">
      <c r="AO110" s="212"/>
      <c r="AP110" s="212"/>
    </row>
    <row r="111" spans="1:56">
      <c r="AO111" s="212"/>
      <c r="AP111" s="212"/>
    </row>
    <row r="112" spans="1:56">
      <c r="AO112" s="212"/>
      <c r="AP112" s="212"/>
    </row>
    <row r="113" spans="41:42">
      <c r="AO113" s="212"/>
      <c r="AP113" s="212"/>
    </row>
    <row r="114" spans="41:42">
      <c r="AO114" s="212"/>
      <c r="AP114" s="212"/>
    </row>
  </sheetData>
  <mergeCells count="45">
    <mergeCell ref="A1:C1"/>
    <mergeCell ref="A2:A4"/>
    <mergeCell ref="B2:B4"/>
    <mergeCell ref="C2:C4"/>
    <mergeCell ref="D3:D4"/>
    <mergeCell ref="D2:K2"/>
    <mergeCell ref="K3:K4"/>
    <mergeCell ref="J3:J4"/>
    <mergeCell ref="E3:E4"/>
    <mergeCell ref="F3:F4"/>
    <mergeCell ref="G3:G4"/>
    <mergeCell ref="H3:H4"/>
    <mergeCell ref="I3:I4"/>
    <mergeCell ref="AW3:AX3"/>
    <mergeCell ref="AY3:AZ3"/>
    <mergeCell ref="L2:L4"/>
    <mergeCell ref="M2:M4"/>
    <mergeCell ref="N2:O2"/>
    <mergeCell ref="AU3:AV3"/>
    <mergeCell ref="AG3:AH3"/>
    <mergeCell ref="AI3:AJ3"/>
    <mergeCell ref="AK3:AL3"/>
    <mergeCell ref="AM3:AN3"/>
    <mergeCell ref="AB2:AB4"/>
    <mergeCell ref="AD2:AD4"/>
    <mergeCell ref="AE2:BB2"/>
    <mergeCell ref="BA3:BB3"/>
    <mergeCell ref="AE3:AF3"/>
    <mergeCell ref="N3:N4"/>
    <mergeCell ref="AQ3:AR3"/>
    <mergeCell ref="AS3:AT3"/>
    <mergeCell ref="AO3:AP3"/>
    <mergeCell ref="O3:O4"/>
    <mergeCell ref="U2:U4"/>
    <mergeCell ref="P2:S2"/>
    <mergeCell ref="P3:Q3"/>
    <mergeCell ref="R3:S3"/>
    <mergeCell ref="T2:T4"/>
    <mergeCell ref="Y2:Y4"/>
    <mergeCell ref="Z2:Z4"/>
    <mergeCell ref="AA2:AA4"/>
    <mergeCell ref="AC2:AC4"/>
    <mergeCell ref="W2:W4"/>
    <mergeCell ref="V2:V4"/>
    <mergeCell ref="X2:X4"/>
  </mergeCells>
  <phoneticPr fontId="17" type="noConversion"/>
  <conditionalFormatting sqref="V5:V103">
    <cfRule type="cellIs" dxfId="0" priority="2" operator="lessThan">
      <formula>-4.49</formula>
    </cfRule>
  </conditionalFormatting>
  <hyperlinks>
    <hyperlink ref="A48" location="Henry!A1" display="HENRY" xr:uid="{E7951B1C-091D-40A9-AA7D-A4C17D003AE8}"/>
    <hyperlink ref="A60" location="Lee!A1" display="LEE" xr:uid="{9E108980-9B52-4F45-A877-CADA43637404}"/>
    <hyperlink ref="A79" location="Plymouth!A1" display="PLYMOUTH" xr:uid="{1DDB0979-5A8A-432C-9631-0689F6C74B28}"/>
    <hyperlink ref="A90" location="Tama!A1" display="TAMA" xr:uid="{3582FB46-6186-4FB5-8235-16E8C3218B71}"/>
    <hyperlink ref="A87" location="Shelby!A1" display="SHELBY" xr:uid="{A0C2CF4D-1138-4E40-9B3D-A836E4BBAC24}"/>
    <hyperlink ref="A77" location="Page!A1" display="PAGE" xr:uid="{4F78F265-8265-466B-AE71-11BB529E464C}"/>
    <hyperlink ref="A18" location="Carroll!A1" display="CARROLL" xr:uid="{57D31E90-3F6D-4015-A610-75C11EEC1F17}"/>
    <hyperlink ref="A8" location="Appanoose!A1" display="APPANOOSE" xr:uid="{34D7AF2C-1849-4D7C-BE47-4ED3F8F0D5BB}"/>
    <hyperlink ref="A100" location="Winneshiek!A1" display="WINNESHIEK" xr:uid="{09FB6C05-5138-4791-9D7E-3D2C7FA22030}"/>
    <hyperlink ref="A95" location="Warren!A1" display="WARREN" xr:uid="{28978B1C-F5E7-4C55-8A2E-0156342B3982}"/>
    <hyperlink ref="A81" location="Polk!A1" display="POLK" xr:uid="{520E0062-5F81-4CAC-B23A-B5CA3976283D}"/>
    <hyperlink ref="A74" location="Muscatine!A1" display="MUSCATINE" xr:uid="{CA6BBB92-ABDD-4F10-B9FB-F3AB09CC4D1C}"/>
    <hyperlink ref="A71" location="Monona!A1" display="MONONA" xr:uid="{6471A14E-8279-4EDA-BC8B-B915159FCC19}"/>
    <hyperlink ref="A24" location="Clarke!A1" display="CLARKE" xr:uid="{66D7F632-3B37-4919-B79E-50EE8EF273A6}"/>
    <hyperlink ref="A37" location="Fayette!A1" display="FAYETTE" xr:uid="{4606E484-BB53-407D-91B7-2C9E9848B829}"/>
    <hyperlink ref="A102" location="Worth!A1" display="WORTH" xr:uid="{E614C009-8089-4848-8F05-641F7E5027B8}"/>
    <hyperlink ref="A96" location="Washington!A1" display="WASHINGTON" xr:uid="{3725650D-C3FD-4DE5-A08A-5FFC844FA036}"/>
    <hyperlink ref="A93" location="'Van Buren'!A1" display="VAN BUREN" xr:uid="{25D23EDE-9C43-43F6-9BB6-3A195C50D040}"/>
    <hyperlink ref="A89" location="Story!A1" display="STORY" xr:uid="{C4E12AFF-2D64-4338-9E6F-9D6186000003}"/>
    <hyperlink ref="A85" location="Sac!A1" display="SAC" xr:uid="{925D2E86-F09B-4751-B4FA-5712BDD81E87}"/>
    <hyperlink ref="A56" location="Johnson!A1" display="JOHNSON" xr:uid="{01CA1A1E-06F4-46AD-9FAF-96F8944574D8}"/>
    <hyperlink ref="A33" location="'Des Moines'!A1" display="DES MOINES" xr:uid="{67D25B34-61EC-406F-9235-6756C656ABEE}"/>
    <hyperlink ref="A21" location="'Cerro Gordo'!A1" display="CERRO GORDO" xr:uid="{5CB0D223-47F1-4CD1-854C-A3BB28FEE598}"/>
    <hyperlink ref="A13" location="Bremer!A1" display="BREMER" xr:uid="{407CAA49-CDFE-463C-A230-C15304CA7140}"/>
    <hyperlink ref="A17" location="Calhoun!A1" display="CALHOUN" xr:uid="{85FC97DD-2EC0-48AF-B755-0E8C74B1B89C}"/>
    <hyperlink ref="A9" location="Audubon!A1" display="AUDUBON" xr:uid="{7A43DD2C-E06E-4543-94BA-61112D85D14F}"/>
    <hyperlink ref="A98" location="Webster!A1" display="WEBSTER" xr:uid="{DCDFF564-8554-4726-A02F-663AEF03AC12}"/>
    <hyperlink ref="A82" location="Pottawattamie!A1" display="POTTAWATTAMIE" xr:uid="{3B456C66-5ED0-4A0C-BADA-AFC9996598CA}"/>
    <hyperlink ref="A61" location="Linn!A1" display="LINN" xr:uid="{273D9FA4-11A6-40BF-8FBD-0BB94991CF2A}"/>
    <hyperlink ref="A59" location="Kossuth!A1" display="KOSSUTH" xr:uid="{F8CB1293-8E53-4811-8B0B-CB25EAB0321B}"/>
    <hyperlink ref="A53" location="Jackson!A1" display="JACKSON" xr:uid="{13998557-BA42-4302-A5B7-5287D7D033BA}"/>
    <hyperlink ref="A52" location="Iowa!A1" display="IOWA" xr:uid="{F264F14E-28F0-4CBC-AD6B-1793087E74C1}"/>
    <hyperlink ref="A51" location="Ida!A1" display="IDA" xr:uid="{E04D511C-1F66-4FEB-8976-0B53B458FE98}"/>
    <hyperlink ref="A43" location="Guthrie!A1" display="GUTHRIE" xr:uid="{C414E511-6140-47EB-8795-4663D22C1AB5}"/>
    <hyperlink ref="A38" location="Floyd!A1" display="FLOYD" xr:uid="{836FA5EE-270E-4A3A-9AD5-037BFF96C8F5}"/>
    <hyperlink ref="A31" location="Decatur!A1" display="DECATUR" xr:uid="{69AD80C7-9BFE-4E13-AC6B-5E9AF66B2CCD}"/>
    <hyperlink ref="A30" location="Davis!A1" display="DAVIS" xr:uid="{EA0DEA2C-4209-4561-AA81-7BC9E8722032}"/>
    <hyperlink ref="A28" location="Crawford!A1" display="CRAWFORD" xr:uid="{82312251-8E96-4DF5-BB93-4C7D833BD5EB}"/>
    <hyperlink ref="A26" location="Clayton!A1" display="CLAYTON" xr:uid="{9857638E-6FAB-4F44-BDBB-CCC24DA1493D}"/>
    <hyperlink ref="A23" location="Chickasaw!A1" display="CHICKASAW" xr:uid="{DCF7C135-AD67-4F75-A8DC-B6CC499BD732}"/>
    <hyperlink ref="A12" location="Boone!A1" display="BOONE" xr:uid="{D6F33522-6A8C-416C-9195-51460F6F3A82}"/>
    <hyperlink ref="A11" location="'Black Hawk'!A1" display="BLACK HAWK" xr:uid="{5628E22B-908C-46F2-A260-8FF743F1C99A}"/>
    <hyperlink ref="A20" location="Cedar!A1" display="CEDAR" xr:uid="{39AD731A-B1A5-4750-AAC3-8957E2AC5BCD}"/>
    <hyperlink ref="A50" location="Humboldt!A1" display="HUMBOLDT" xr:uid="{D0FD27B5-216A-4A22-A346-1998D058A628}"/>
    <hyperlink ref="A78" location="'Palo Alto'!A1" display="PALO ALTO" xr:uid="{173CB5EF-7F57-430A-B9EB-7F06CD030D18}"/>
    <hyperlink ref="A64" location="Lyon!A1" display="LYON" xr:uid="{3BABC284-15AB-405F-A8D5-007F6271D876}"/>
    <hyperlink ref="A68" location="Marshall!A1" display="MARSHALL" xr:uid="{708BBA3E-14B0-42BA-9E6B-962217AD12E8}"/>
    <hyperlink ref="A99" location="Winnebago!A1" display="WINNEBAGO" xr:uid="{F6DC4A49-07F5-46F8-BD2F-0A29244A23CD}"/>
    <hyperlink ref="A86" location="Scott!A1" display="SCOTT" xr:uid="{0FE0DDD1-BDC8-40F4-8DF5-E0D17B38A284}"/>
    <hyperlink ref="A84" location="Ringgold!A1" display="RINGGOLD" xr:uid="{E92C6D43-EB6C-4B80-8A56-1C1C647CA56A}"/>
    <hyperlink ref="A49" location="Howard!A1" display="HOWARD" xr:uid="{DF35C1FC-6FE4-49AD-B3E3-63B1CD836E6D}"/>
    <hyperlink ref="A45" location="Hancock!A1" display="HANCOCK" xr:uid="{56B8C131-C5B2-4E0F-BAC0-FD40E16AB414}"/>
    <hyperlink ref="A39" location="Franklin!A1" display="FRANKLIN" xr:uid="{D01A64D2-2C13-4BB0-ADB3-0929B5D122C3}"/>
    <hyperlink ref="A5" location="Adair!A1" display="ADAIR" xr:uid="{CEF72B5D-EE4E-4F65-82EA-C95EAE4B615D}"/>
    <hyperlink ref="A6" location="Adams!A1" display="ADAMS" xr:uid="{DEDA37D1-6F03-41A0-8AE6-C35A9ACD9CF3}"/>
    <hyperlink ref="A7" location="Allamakee!A1" display="ALLAMAKEE" xr:uid="{54B6CD48-3E78-45F3-B206-5CB21833A887}"/>
    <hyperlink ref="A10" location="Benton!A1" display="BENTON" xr:uid="{B8A970E6-8622-4C3B-B6C3-77ECEBFF50ED}"/>
    <hyperlink ref="A14" location="Buchanan!A1" display="BUCHANAN" xr:uid="{DD5E1C3C-2624-4337-B431-1D13287B8724}"/>
    <hyperlink ref="A15" location="'Buena Vista'!A1" display="BUENA VISTA" xr:uid="{43598A24-9887-4E96-B5BD-29EDCB4282F0}"/>
    <hyperlink ref="A16" location="Butler!A1" display="BUTLER" xr:uid="{824FCBB3-2D70-4C84-B1CE-24F26524F782}"/>
    <hyperlink ref="A19" location="Cass!A1" display="CASS" xr:uid="{244FF96F-E755-4D99-850B-20D6212F18FB}"/>
    <hyperlink ref="A22" location="Cherokee!A1" display="CHEROKEE" xr:uid="{403208BE-1BAC-4953-A26C-112A8FABD523}"/>
    <hyperlink ref="A25" location="Clay!A1" display="CLAY" xr:uid="{8B7AD191-2EFA-417B-B036-2E421B40D7F6}"/>
    <hyperlink ref="A27" location="Clinton!A1" display="CLINTON" xr:uid="{6B4F5B9B-1E14-457A-8CE8-0FA5B9C51897}"/>
    <hyperlink ref="A29" location="Dallas!A1" display="DALLAS" xr:uid="{3126AD4E-CFCC-4F70-8EE7-DFDA0AB89D42}"/>
    <hyperlink ref="A32" location="Delaware!A1" display="DELAWARE" xr:uid="{D86A2A8F-D9C5-4655-8E0F-24F2FA7AC830}"/>
    <hyperlink ref="A34" location="Dickinson!A1" display="DICKINSON" xr:uid="{A318B6D1-F1C5-49BA-BDB3-43CC4FDDF76E}"/>
    <hyperlink ref="A36" location="Emmet!A1" display="EMMET" xr:uid="{207C5015-68D6-4515-94B2-21115FFA72A6}"/>
    <hyperlink ref="A40" location="Fremont!A1" display="FREMONT" xr:uid="{3F863244-6763-43B1-BE2A-2FBB8EAF8F52}"/>
    <hyperlink ref="A41" location="Greene!A1" display="GREENE" xr:uid="{4C66DE13-B193-438A-A7BE-DDED689937F2}"/>
    <hyperlink ref="A42" location="Grundy!A1" display="GRUNDY" xr:uid="{0DDE3C93-071B-4ADF-8978-D0506977CC8F}"/>
    <hyperlink ref="A44" location="Hamilton!A1" display="HAMILTON" xr:uid="{9DB0FD63-6EF1-434F-8D2D-A945B1E58BD1}"/>
    <hyperlink ref="A46" location="Hardin!A1" display="HARDIN" xr:uid="{79092118-5CDA-44A8-A3BB-BB78106A2112}"/>
    <hyperlink ref="A47" location="Harrison!A1" display="HARRISON" xr:uid="{D786D4EA-3A73-4966-BBE6-4EF136FD748F}"/>
    <hyperlink ref="A54" location="Jasper!A1" display="JASPER" xr:uid="{AB767FA9-E057-4167-ADE5-53DD3C0F1C30}"/>
    <hyperlink ref="A55" location="Jefferson!A1" display="JEFFERSON" xr:uid="{236D37BB-7A92-4458-9D2B-6EDBF7850FB3}"/>
    <hyperlink ref="A57" location="Jones!A1" display="JONES" xr:uid="{386EDD64-53EA-468E-95F8-D03BE77AEC00}"/>
    <hyperlink ref="A58" location="Keokuk!A1" display="KEOKUK" xr:uid="{E2992F7C-0601-45A7-A98F-18A6B1548D0A}"/>
    <hyperlink ref="A62" location="Louisa!A1" display="LOUISA" xr:uid="{CB7F8D61-3276-4421-899A-EE5FC46F4A41}"/>
    <hyperlink ref="A63" location="Lucas!A1" display="LUCAS" xr:uid="{2CE30D09-302C-4DC2-82D3-9706E78B77AB}"/>
    <hyperlink ref="A65" location="Madison!A1" display="MADISON" xr:uid="{94E1EA51-106C-4773-98B3-0ADBEB7B256E}"/>
    <hyperlink ref="A66" location="Mahaska!A1" display="MAHASKA" xr:uid="{C7412F9B-3B78-4CD6-B820-5F19E06A87DD}"/>
    <hyperlink ref="A67" location="Marion!A1" display="MARION" xr:uid="{7981BE82-F31B-4AA7-9016-280F124005A3}"/>
    <hyperlink ref="A69" location="Mills!A1" display="MILLS" xr:uid="{3DC888E1-9EE0-4860-B6F9-4DBAC17F8B67}"/>
    <hyperlink ref="A70" location="Mitchell!A1" display="MITCHELL" xr:uid="{6FF89D41-0BF6-4F39-8E17-F3650FA19A5D}"/>
    <hyperlink ref="A72" location="Monroe!A1" display="MONROE" xr:uid="{641914FA-A079-492A-8B46-16AD46DFB66B}"/>
    <hyperlink ref="A73" location="Montgomery!A1" display="MONTGOMERY" xr:uid="{59AF986C-D32A-4D35-95B5-2A23EEE09A78}"/>
    <hyperlink ref="A75" location="'O''Brien'!A1" display="O'BRIEN" xr:uid="{215C93EC-031F-4763-9481-DA85C7A04FBE}"/>
    <hyperlink ref="A76" location="Osceola!A1" display="OSCEOLA" xr:uid="{EDFD2321-3300-47AB-9D9C-1512802F495B}"/>
    <hyperlink ref="A80" location="Pocahontas!A1" display="POCAHONTAS" xr:uid="{3048F72A-378A-44B5-8DB9-4978A9754D4E}"/>
    <hyperlink ref="A83" location="Poweshiek!A1" display="POWESHIEK" xr:uid="{50D615B8-C15A-484F-B2B4-2AEA412B412B}"/>
    <hyperlink ref="A88" location="Sioux!A1" display="SIOUX" xr:uid="{FF3F54EF-FA30-401D-B873-05D56A283A9C}"/>
    <hyperlink ref="A91" location="Taylor!A1" display="TAYLOR" xr:uid="{7501AEDB-9283-475B-90FB-929EC337FA26}"/>
    <hyperlink ref="A92" location="Union!A1" display="UNION" xr:uid="{08E9C12A-F4D2-4F13-A176-280284FB7343}"/>
    <hyperlink ref="A94" location="Wapello!A1" display="WAPELLO" xr:uid="{02E99B87-029F-48F4-99B0-C578956F8B05}"/>
    <hyperlink ref="A97" location="Wayne!A1" display="WAYNE" xr:uid="{16A439BE-B696-465E-A452-4555758B1460}"/>
    <hyperlink ref="A101" location="Woodbury!A1" display="WOODBURY" xr:uid="{CF080447-35BE-49A3-93F8-FEF0B2D7D5A9}"/>
    <hyperlink ref="A103" location="Wright!A1" display="WRIGHT" xr:uid="{3131A26E-9F40-422F-AABD-93EF25D3E15A}"/>
    <hyperlink ref="A35" location="Dubuque!A1" display="DUBUQUE" xr:uid="{5AD8B7B9-B825-4708-B67B-CA677091A602}"/>
  </hyperlinks>
  <printOptions headings="1" gridLines="1"/>
  <pageMargins left="0.2" right="0.2" top="0.75" bottom="0.75" header="0.3" footer="0.3"/>
  <pageSetup paperSize="17" scale="50"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3B91-AB96-4EEE-B7AE-5C9DD692E48A}">
  <dimension ref="A1:J21"/>
  <sheetViews>
    <sheetView workbookViewId="0">
      <selection activeCell="I6" sqref="I6:I7"/>
    </sheetView>
  </sheetViews>
  <sheetFormatPr defaultRowHeight="15"/>
  <cols>
    <col min="2" max="2" width="22.85546875" bestFit="1" customWidth="1"/>
    <col min="3" max="4" width="12" bestFit="1" customWidth="1"/>
    <col min="5" max="5" width="12" style="432" bestFit="1" customWidth="1"/>
    <col min="6" max="6" width="13.42578125" style="432" customWidth="1"/>
    <col min="7" max="7" width="11.42578125" style="432" bestFit="1" customWidth="1"/>
    <col min="8" max="8" width="13.42578125" style="432" customWidth="1"/>
    <col min="9" max="9" width="11.42578125" bestFit="1" customWidth="1"/>
    <col min="10" max="10" width="13.42578125" customWidth="1"/>
  </cols>
  <sheetData>
    <row r="1" spans="1:10" ht="15.75" thickBot="1">
      <c r="A1" s="952" t="s">
        <v>213</v>
      </c>
      <c r="B1" s="953"/>
      <c r="C1" s="953"/>
      <c r="D1" s="953"/>
      <c r="E1" s="953"/>
      <c r="F1" s="953"/>
      <c r="G1" s="953"/>
      <c r="H1" s="953"/>
      <c r="I1" s="953"/>
      <c r="J1" s="954"/>
    </row>
    <row r="2" spans="1:10" s="432" customFormat="1" ht="15" customHeight="1">
      <c r="A2" s="959" t="s">
        <v>110</v>
      </c>
      <c r="B2" s="961" t="s">
        <v>111</v>
      </c>
      <c r="C2" s="961" t="s">
        <v>112</v>
      </c>
      <c r="D2" s="963" t="s">
        <v>120</v>
      </c>
      <c r="E2" s="957" t="s">
        <v>701</v>
      </c>
      <c r="F2" s="958"/>
      <c r="G2" s="957" t="s">
        <v>702</v>
      </c>
      <c r="H2" s="958"/>
      <c r="I2" s="932" t="s">
        <v>796</v>
      </c>
      <c r="J2" s="933"/>
    </row>
    <row r="3" spans="1:10" ht="46.5" thickBot="1">
      <c r="A3" s="960"/>
      <c r="B3" s="962"/>
      <c r="C3" s="962"/>
      <c r="D3" s="964"/>
      <c r="E3" s="460" t="s">
        <v>121</v>
      </c>
      <c r="F3" s="468" t="s">
        <v>704</v>
      </c>
      <c r="G3" s="460" t="s">
        <v>121</v>
      </c>
      <c r="H3" s="468" t="s">
        <v>704</v>
      </c>
      <c r="I3" s="478" t="s">
        <v>121</v>
      </c>
      <c r="J3" s="25" t="s">
        <v>704</v>
      </c>
    </row>
    <row r="4" spans="1:10">
      <c r="A4" s="70">
        <v>43879</v>
      </c>
      <c r="B4" s="71" t="s">
        <v>388</v>
      </c>
      <c r="C4" s="72">
        <v>328910.75</v>
      </c>
      <c r="D4" s="429">
        <f t="shared" ref="D4:D9" si="0">C4</f>
        <v>328910.75</v>
      </c>
      <c r="E4" s="469">
        <v>329088.71000000002</v>
      </c>
      <c r="F4" s="470">
        <f>IF(ISBLANK(E4),"----",E4-$D4)</f>
        <v>177.96000000002095</v>
      </c>
      <c r="G4" s="469" t="s">
        <v>703</v>
      </c>
      <c r="H4" s="470" t="str">
        <f t="shared" ref="H4:H20" si="1">IF(OR(G4="Complete",ISBLANK(G4)),"----",G4-$D4)</f>
        <v>----</v>
      </c>
      <c r="I4" s="479" t="s">
        <v>703</v>
      </c>
      <c r="J4" s="73" t="str">
        <f t="shared" ref="J4:J20" si="2">IF(OR(I4="Complete",ISBLANK(I4)),"----",I4-$D4)</f>
        <v>----</v>
      </c>
    </row>
    <row r="5" spans="1:10">
      <c r="A5" s="88">
        <v>44243</v>
      </c>
      <c r="B5" s="101" t="s">
        <v>389</v>
      </c>
      <c r="C5" s="82">
        <v>1124957.78</v>
      </c>
      <c r="D5" s="431">
        <f t="shared" si="0"/>
        <v>1124957.78</v>
      </c>
      <c r="E5" s="471">
        <v>1136870.06</v>
      </c>
      <c r="F5" s="472">
        <f t="shared" ref="F5:F20" si="3">IF(ISBLANK(E5),"----",E5-$D5)</f>
        <v>11912.280000000028</v>
      </c>
      <c r="G5" s="471" t="s">
        <v>703</v>
      </c>
      <c r="H5" s="472" t="str">
        <f t="shared" si="1"/>
        <v>----</v>
      </c>
      <c r="I5" s="484" t="s">
        <v>703</v>
      </c>
      <c r="J5" s="83" t="str">
        <f t="shared" si="2"/>
        <v>----</v>
      </c>
    </row>
    <row r="6" spans="1:10">
      <c r="A6" s="102">
        <v>44243</v>
      </c>
      <c r="B6" s="103" t="s">
        <v>390</v>
      </c>
      <c r="C6" s="87">
        <v>415071.74</v>
      </c>
      <c r="D6" s="466">
        <f t="shared" si="0"/>
        <v>415071.74</v>
      </c>
      <c r="E6" s="473">
        <v>415288.15</v>
      </c>
      <c r="F6" s="472">
        <f t="shared" si="3"/>
        <v>216.4100000000326</v>
      </c>
      <c r="G6" s="473" t="s">
        <v>703</v>
      </c>
      <c r="H6" s="472" t="str">
        <f t="shared" si="1"/>
        <v>----</v>
      </c>
      <c r="I6" s="486" t="s">
        <v>703</v>
      </c>
      <c r="J6" s="83" t="str">
        <f t="shared" si="2"/>
        <v>----</v>
      </c>
    </row>
    <row r="7" spans="1:10">
      <c r="A7" s="102">
        <v>44880</v>
      </c>
      <c r="B7" s="103" t="s">
        <v>584</v>
      </c>
      <c r="C7" s="87">
        <v>809573.8</v>
      </c>
      <c r="D7" s="466">
        <f t="shared" si="0"/>
        <v>809573.8</v>
      </c>
      <c r="E7" s="473"/>
      <c r="F7" s="472" t="str">
        <f t="shared" si="3"/>
        <v>----</v>
      </c>
      <c r="G7" s="473">
        <v>813133.24</v>
      </c>
      <c r="H7" s="472">
        <f t="shared" si="1"/>
        <v>3559.4399999999441</v>
      </c>
      <c r="I7" s="786" t="s">
        <v>703</v>
      </c>
      <c r="J7" s="83" t="str">
        <f t="shared" si="2"/>
        <v>----</v>
      </c>
    </row>
    <row r="8" spans="1:10">
      <c r="A8" s="102">
        <v>45279</v>
      </c>
      <c r="B8" s="103" t="s">
        <v>687</v>
      </c>
      <c r="C8" s="87">
        <v>1051193.58</v>
      </c>
      <c r="D8" s="466">
        <f t="shared" si="0"/>
        <v>1051193.58</v>
      </c>
      <c r="E8" s="473"/>
      <c r="F8" s="472" t="str">
        <f t="shared" si="3"/>
        <v>----</v>
      </c>
      <c r="G8" s="473"/>
      <c r="H8" s="472" t="str">
        <f t="shared" si="1"/>
        <v>----</v>
      </c>
      <c r="I8" s="486"/>
      <c r="J8" s="83" t="str">
        <f t="shared" si="2"/>
        <v>----</v>
      </c>
    </row>
    <row r="9" spans="1:10">
      <c r="A9" s="102">
        <v>45615</v>
      </c>
      <c r="B9" s="450" t="s">
        <v>783</v>
      </c>
      <c r="C9" s="370">
        <v>495774.71</v>
      </c>
      <c r="D9" s="559">
        <f t="shared" si="0"/>
        <v>495774.71</v>
      </c>
      <c r="E9" s="473"/>
      <c r="F9" s="472" t="str">
        <f t="shared" si="3"/>
        <v>----</v>
      </c>
      <c r="G9" s="473"/>
      <c r="H9" s="472" t="str">
        <f t="shared" si="1"/>
        <v>----</v>
      </c>
      <c r="I9" s="486"/>
      <c r="J9" s="83" t="str">
        <f t="shared" si="2"/>
        <v>----</v>
      </c>
    </row>
    <row r="10" spans="1:10">
      <c r="A10" s="102"/>
      <c r="B10" s="103"/>
      <c r="C10" s="370"/>
      <c r="D10" s="559"/>
      <c r="E10" s="473"/>
      <c r="F10" s="472" t="str">
        <f t="shared" si="3"/>
        <v>----</v>
      </c>
      <c r="G10" s="473"/>
      <c r="H10" s="472" t="str">
        <f t="shared" si="1"/>
        <v>----</v>
      </c>
      <c r="I10" s="486"/>
      <c r="J10" s="83" t="str">
        <f t="shared" si="2"/>
        <v>----</v>
      </c>
    </row>
    <row r="11" spans="1:10">
      <c r="A11" s="102"/>
      <c r="B11" s="103"/>
      <c r="C11" s="370"/>
      <c r="D11" s="559"/>
      <c r="E11" s="473"/>
      <c r="F11" s="472" t="str">
        <f t="shared" si="3"/>
        <v>----</v>
      </c>
      <c r="G11" s="473"/>
      <c r="H11" s="472" t="str">
        <f t="shared" si="1"/>
        <v>----</v>
      </c>
      <c r="I11" s="486"/>
      <c r="J11" s="83" t="str">
        <f t="shared" si="2"/>
        <v>----</v>
      </c>
    </row>
    <row r="12" spans="1:10">
      <c r="A12" s="102"/>
      <c r="B12" s="103"/>
      <c r="C12" s="370"/>
      <c r="D12" s="559"/>
      <c r="E12" s="473"/>
      <c r="F12" s="472" t="str">
        <f t="shared" si="3"/>
        <v>----</v>
      </c>
      <c r="G12" s="473"/>
      <c r="H12" s="472" t="str">
        <f t="shared" si="1"/>
        <v>----</v>
      </c>
      <c r="I12" s="486"/>
      <c r="J12" s="83" t="str">
        <f t="shared" si="2"/>
        <v>----</v>
      </c>
    </row>
    <row r="13" spans="1:10">
      <c r="A13" s="102"/>
      <c r="B13" s="103"/>
      <c r="C13" s="370"/>
      <c r="D13" s="559"/>
      <c r="E13" s="473"/>
      <c r="F13" s="472" t="str">
        <f t="shared" si="3"/>
        <v>----</v>
      </c>
      <c r="G13" s="473"/>
      <c r="H13" s="472" t="str">
        <f t="shared" si="1"/>
        <v>----</v>
      </c>
      <c r="I13" s="486"/>
      <c r="J13" s="83" t="str">
        <f t="shared" si="2"/>
        <v>----</v>
      </c>
    </row>
    <row r="14" spans="1:10">
      <c r="A14" s="102"/>
      <c r="B14" s="103"/>
      <c r="C14" s="370"/>
      <c r="D14" s="559"/>
      <c r="E14" s="473"/>
      <c r="F14" s="472" t="str">
        <f t="shared" si="3"/>
        <v>----</v>
      </c>
      <c r="G14" s="473"/>
      <c r="H14" s="472" t="str">
        <f t="shared" si="1"/>
        <v>----</v>
      </c>
      <c r="I14" s="486"/>
      <c r="J14" s="83" t="str">
        <f t="shared" si="2"/>
        <v>----</v>
      </c>
    </row>
    <row r="15" spans="1:10">
      <c r="A15" s="102"/>
      <c r="B15" s="103"/>
      <c r="C15" s="370"/>
      <c r="D15" s="559"/>
      <c r="E15" s="473"/>
      <c r="F15" s="472" t="str">
        <f t="shared" si="3"/>
        <v>----</v>
      </c>
      <c r="G15" s="473"/>
      <c r="H15" s="472" t="str">
        <f t="shared" si="1"/>
        <v>----</v>
      </c>
      <c r="I15" s="486"/>
      <c r="J15" s="83" t="str">
        <f t="shared" si="2"/>
        <v>----</v>
      </c>
    </row>
    <row r="16" spans="1:10">
      <c r="A16" s="102"/>
      <c r="B16" s="103"/>
      <c r="C16" s="370"/>
      <c r="D16" s="559"/>
      <c r="E16" s="473"/>
      <c r="F16" s="472" t="str">
        <f t="shared" si="3"/>
        <v>----</v>
      </c>
      <c r="G16" s="473"/>
      <c r="H16" s="472" t="str">
        <f t="shared" si="1"/>
        <v>----</v>
      </c>
      <c r="I16" s="486"/>
      <c r="J16" s="83" t="str">
        <f t="shared" si="2"/>
        <v>----</v>
      </c>
    </row>
    <row r="17" spans="1:10">
      <c r="A17" s="102"/>
      <c r="B17" s="103"/>
      <c r="C17" s="370"/>
      <c r="D17" s="559"/>
      <c r="E17" s="473"/>
      <c r="F17" s="472" t="str">
        <f t="shared" si="3"/>
        <v>----</v>
      </c>
      <c r="G17" s="473"/>
      <c r="H17" s="472" t="str">
        <f t="shared" si="1"/>
        <v>----</v>
      </c>
      <c r="I17" s="486"/>
      <c r="J17" s="83" t="str">
        <f t="shared" si="2"/>
        <v>----</v>
      </c>
    </row>
    <row r="18" spans="1:10">
      <c r="A18" s="102"/>
      <c r="B18" s="103"/>
      <c r="C18" s="370"/>
      <c r="D18" s="559"/>
      <c r="E18" s="473"/>
      <c r="F18" s="472" t="str">
        <f t="shared" si="3"/>
        <v>----</v>
      </c>
      <c r="G18" s="473"/>
      <c r="H18" s="472" t="str">
        <f t="shared" si="1"/>
        <v>----</v>
      </c>
      <c r="I18" s="486"/>
      <c r="J18" s="83" t="str">
        <f t="shared" si="2"/>
        <v>----</v>
      </c>
    </row>
    <row r="19" spans="1:10">
      <c r="A19" s="116"/>
      <c r="B19" s="117"/>
      <c r="C19" s="602"/>
      <c r="D19" s="603"/>
      <c r="E19" s="474"/>
      <c r="F19" s="472" t="str">
        <f t="shared" si="3"/>
        <v>----</v>
      </c>
      <c r="G19" s="474"/>
      <c r="H19" s="472" t="str">
        <f t="shared" si="1"/>
        <v>----</v>
      </c>
      <c r="I19" s="488"/>
      <c r="J19" s="83" t="str">
        <f t="shared" si="2"/>
        <v>----</v>
      </c>
    </row>
    <row r="20" spans="1:10" ht="15.75" thickBot="1">
      <c r="A20" s="74"/>
      <c r="B20" s="75"/>
      <c r="C20" s="373"/>
      <c r="D20" s="527"/>
      <c r="E20" s="475"/>
      <c r="F20" s="476" t="str">
        <f t="shared" si="3"/>
        <v>----</v>
      </c>
      <c r="G20" s="475"/>
      <c r="H20" s="476" t="str">
        <f t="shared" si="1"/>
        <v>----</v>
      </c>
      <c r="I20" s="481"/>
      <c r="J20" s="77" t="str">
        <f t="shared" si="2"/>
        <v>----</v>
      </c>
    </row>
    <row r="21" spans="1:10" ht="15.75" thickBot="1">
      <c r="A21" s="27"/>
      <c r="B21" s="27"/>
      <c r="C21" s="28"/>
      <c r="D21" s="28"/>
      <c r="E21" s="439"/>
      <c r="F21" s="441">
        <f>SUM(F4:F20)</f>
        <v>12306.650000000081</v>
      </c>
      <c r="G21" s="439"/>
      <c r="H21" s="441">
        <f>SUM(H4:H20)</f>
        <v>3559.4399999999441</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9CC75-679C-431A-8DA1-82692F290734}">
  <dimension ref="A1:K23"/>
  <sheetViews>
    <sheetView workbookViewId="0">
      <selection activeCell="K9" sqref="K9"/>
    </sheetView>
  </sheetViews>
  <sheetFormatPr defaultRowHeight="15"/>
  <cols>
    <col min="2" max="2" width="23.42578125" bestFit="1" customWidth="1"/>
    <col min="3" max="3" width="12" bestFit="1" customWidth="1"/>
    <col min="4" max="4" width="12" customWidth="1"/>
    <col min="5" max="5" width="15" style="432" customWidth="1"/>
    <col min="6" max="6" width="11.42578125" style="432" customWidth="1"/>
    <col min="7" max="7" width="10.7109375" style="432" bestFit="1" customWidth="1"/>
    <col min="8" max="8" width="11.42578125" style="432" customWidth="1"/>
    <col min="9" max="9" width="10.7109375" bestFit="1" customWidth="1"/>
    <col min="10" max="10" width="11.42578125" customWidth="1"/>
  </cols>
  <sheetData>
    <row r="1" spans="1:11" ht="15.75" thickBot="1">
      <c r="A1" s="952" t="s">
        <v>286</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57.75" thickBot="1">
      <c r="A3" s="960"/>
      <c r="B3" s="962"/>
      <c r="C3" s="962"/>
      <c r="D3" s="974"/>
      <c r="E3" s="460" t="s">
        <v>121</v>
      </c>
      <c r="F3" s="468" t="s">
        <v>113</v>
      </c>
      <c r="G3" s="460" t="s">
        <v>121</v>
      </c>
      <c r="H3" s="468" t="s">
        <v>113</v>
      </c>
      <c r="I3" s="478" t="s">
        <v>121</v>
      </c>
      <c r="J3" s="25" t="s">
        <v>113</v>
      </c>
    </row>
    <row r="4" spans="1:11">
      <c r="A4" s="70">
        <v>43998</v>
      </c>
      <c r="B4" s="71" t="s">
        <v>384</v>
      </c>
      <c r="C4" s="781">
        <v>603460.9</v>
      </c>
      <c r="D4" s="787">
        <f>C4</f>
        <v>603460.9</v>
      </c>
      <c r="E4" s="794"/>
      <c r="F4" s="803" t="str">
        <f t="shared" ref="F4:F22" si="0">IF(ISBLANK(E4),"----",E4-D4)</f>
        <v>----</v>
      </c>
      <c r="G4" s="794">
        <v>593794.54</v>
      </c>
      <c r="H4" s="803">
        <f t="shared" ref="H4:H22" si="1">IF(OR(G4="Complete",ISBLANK(G4)),"----",G4-$D4)</f>
        <v>-9666.359999999986</v>
      </c>
      <c r="I4" s="791" t="s">
        <v>703</v>
      </c>
      <c r="J4" s="804" t="str">
        <f t="shared" ref="J4:J22" si="2">IF(OR(I4="Complete",ISBLANK(I4)),"----",I4-$D4)</f>
        <v>----</v>
      </c>
    </row>
    <row r="5" spans="1:11">
      <c r="A5" s="108">
        <v>43998</v>
      </c>
      <c r="B5" s="107" t="s">
        <v>295</v>
      </c>
      <c r="C5" s="822">
        <v>501470</v>
      </c>
      <c r="D5" s="823">
        <v>0</v>
      </c>
      <c r="E5" s="824"/>
      <c r="F5" s="825" t="str">
        <f t="shared" si="0"/>
        <v>----</v>
      </c>
      <c r="G5" s="824"/>
      <c r="H5" s="825" t="str">
        <f t="shared" si="1"/>
        <v>----</v>
      </c>
      <c r="I5" s="826"/>
      <c r="J5" s="827" t="str">
        <f t="shared" si="2"/>
        <v>----</v>
      </c>
      <c r="K5" t="s">
        <v>296</v>
      </c>
    </row>
    <row r="6" spans="1:11">
      <c r="A6" s="91">
        <v>44061</v>
      </c>
      <c r="B6" s="92" t="s">
        <v>383</v>
      </c>
      <c r="C6" s="782">
        <v>973940.25</v>
      </c>
      <c r="D6" s="797">
        <v>973940.25</v>
      </c>
      <c r="E6" s="799"/>
      <c r="F6" s="825" t="str">
        <f t="shared" si="0"/>
        <v>----</v>
      </c>
      <c r="G6" s="799"/>
      <c r="H6" s="825" t="str">
        <f t="shared" si="1"/>
        <v>----</v>
      </c>
      <c r="I6" s="798"/>
      <c r="J6" s="827" t="str">
        <f t="shared" si="2"/>
        <v>----</v>
      </c>
    </row>
    <row r="7" spans="1:11">
      <c r="A7" s="970">
        <v>44216</v>
      </c>
      <c r="B7" s="103" t="s">
        <v>385</v>
      </c>
      <c r="C7" s="770">
        <v>907170.4</v>
      </c>
      <c r="D7" s="729">
        <v>306350.40000000002</v>
      </c>
      <c r="E7" s="739"/>
      <c r="F7" s="825" t="str">
        <f t="shared" si="0"/>
        <v>----</v>
      </c>
      <c r="G7" s="739"/>
      <c r="H7" s="825" t="str">
        <f t="shared" si="1"/>
        <v>----</v>
      </c>
      <c r="I7" s="734">
        <f>941191.5-600820</f>
        <v>340371.5</v>
      </c>
      <c r="J7" s="827">
        <f t="shared" si="2"/>
        <v>34021.099999999977</v>
      </c>
      <c r="K7" t="s">
        <v>902</v>
      </c>
    </row>
    <row r="8" spans="1:11">
      <c r="A8" s="972"/>
      <c r="B8" s="103" t="s">
        <v>386</v>
      </c>
      <c r="C8" s="770">
        <v>631337.55000000005</v>
      </c>
      <c r="D8" s="729">
        <v>167067.54999999999</v>
      </c>
      <c r="E8" s="739"/>
      <c r="F8" s="825" t="str">
        <f t="shared" si="0"/>
        <v>----</v>
      </c>
      <c r="G8" s="739"/>
      <c r="H8" s="825" t="str">
        <f t="shared" si="1"/>
        <v>----</v>
      </c>
      <c r="I8" s="734">
        <f>630101.43-464270</f>
        <v>165831.43000000005</v>
      </c>
      <c r="J8" s="827">
        <f t="shared" si="2"/>
        <v>-1236.1199999999371</v>
      </c>
      <c r="K8" s="780" t="s">
        <v>901</v>
      </c>
    </row>
    <row r="9" spans="1:11">
      <c r="A9" s="102">
        <v>44698</v>
      </c>
      <c r="B9" s="103" t="s">
        <v>517</v>
      </c>
      <c r="C9" s="770">
        <v>1542860.84</v>
      </c>
      <c r="D9" s="729">
        <f>C9</f>
        <v>1542860.84</v>
      </c>
      <c r="E9" s="739"/>
      <c r="F9" s="825" t="str">
        <f t="shared" si="0"/>
        <v>----</v>
      </c>
      <c r="G9" s="739"/>
      <c r="H9" s="825" t="str">
        <f t="shared" si="1"/>
        <v>----</v>
      </c>
      <c r="I9" s="734"/>
      <c r="J9" s="827" t="str">
        <f t="shared" si="2"/>
        <v>----</v>
      </c>
    </row>
    <row r="10" spans="1:11">
      <c r="A10" s="102">
        <v>44698</v>
      </c>
      <c r="B10" s="103" t="s">
        <v>518</v>
      </c>
      <c r="C10" s="770">
        <v>541346.30000000005</v>
      </c>
      <c r="D10" s="729">
        <f>C10</f>
        <v>541346.30000000005</v>
      </c>
      <c r="E10" s="739"/>
      <c r="F10" s="825" t="str">
        <f t="shared" si="0"/>
        <v>----</v>
      </c>
      <c r="G10" s="739"/>
      <c r="H10" s="825" t="str">
        <f t="shared" si="1"/>
        <v>----</v>
      </c>
      <c r="I10" s="734"/>
      <c r="J10" s="827" t="str">
        <f t="shared" si="2"/>
        <v>----</v>
      </c>
    </row>
    <row r="11" spans="1:11">
      <c r="A11" s="102">
        <v>45006</v>
      </c>
      <c r="B11" s="103" t="s">
        <v>643</v>
      </c>
      <c r="C11" s="770">
        <v>1132113.1000000001</v>
      </c>
      <c r="D11" s="729">
        <f>C11</f>
        <v>1132113.1000000001</v>
      </c>
      <c r="E11" s="739"/>
      <c r="F11" s="825" t="str">
        <f t="shared" si="0"/>
        <v>----</v>
      </c>
      <c r="G11" s="739"/>
      <c r="H11" s="825" t="str">
        <f t="shared" si="1"/>
        <v>----</v>
      </c>
      <c r="I11" s="734"/>
      <c r="J11" s="827" t="str">
        <f t="shared" si="2"/>
        <v>----</v>
      </c>
    </row>
    <row r="12" spans="1:11">
      <c r="A12" s="102">
        <v>45679</v>
      </c>
      <c r="B12" s="721" t="s">
        <v>817</v>
      </c>
      <c r="C12" s="770">
        <v>1372445.3</v>
      </c>
      <c r="D12" s="729">
        <f>C12</f>
        <v>1372445.3</v>
      </c>
      <c r="E12" s="739"/>
      <c r="F12" s="825" t="str">
        <f t="shared" si="0"/>
        <v>----</v>
      </c>
      <c r="G12" s="739"/>
      <c r="H12" s="825" t="str">
        <f t="shared" si="1"/>
        <v>----</v>
      </c>
      <c r="I12" s="734"/>
      <c r="J12" s="827" t="str">
        <f t="shared" si="2"/>
        <v>----</v>
      </c>
    </row>
    <row r="13" spans="1:11">
      <c r="A13" s="102">
        <v>45706</v>
      </c>
      <c r="B13" s="721" t="s">
        <v>850</v>
      </c>
      <c r="C13" s="770">
        <v>751517.95</v>
      </c>
      <c r="D13" s="729">
        <v>0</v>
      </c>
      <c r="E13" s="739"/>
      <c r="F13" s="825" t="str">
        <f t="shared" si="0"/>
        <v>----</v>
      </c>
      <c r="G13" s="739"/>
      <c r="H13" s="825" t="str">
        <f t="shared" si="1"/>
        <v>----</v>
      </c>
      <c r="I13" s="734"/>
      <c r="J13" s="827" t="str">
        <f t="shared" si="2"/>
        <v>----</v>
      </c>
      <c r="K13" t="s">
        <v>851</v>
      </c>
    </row>
    <row r="14" spans="1:11">
      <c r="A14" s="102">
        <v>45734</v>
      </c>
      <c r="B14" s="721" t="s">
        <v>862</v>
      </c>
      <c r="C14" s="770">
        <v>894938.65</v>
      </c>
      <c r="D14" s="729">
        <f>C14</f>
        <v>894938.65</v>
      </c>
      <c r="E14" s="739"/>
      <c r="F14" s="825" t="str">
        <f t="shared" si="0"/>
        <v>----</v>
      </c>
      <c r="G14" s="739"/>
      <c r="H14" s="825" t="str">
        <f t="shared" si="1"/>
        <v>----</v>
      </c>
      <c r="I14" s="734"/>
      <c r="J14" s="827" t="str">
        <f t="shared" si="2"/>
        <v>----</v>
      </c>
    </row>
    <row r="15" spans="1:11">
      <c r="A15" s="102"/>
      <c r="B15" s="103"/>
      <c r="C15" s="770"/>
      <c r="D15" s="729"/>
      <c r="E15" s="739"/>
      <c r="F15" s="825" t="str">
        <f t="shared" si="0"/>
        <v>----</v>
      </c>
      <c r="G15" s="739"/>
      <c r="H15" s="825" t="str">
        <f t="shared" si="1"/>
        <v>----</v>
      </c>
      <c r="I15" s="734"/>
      <c r="J15" s="827" t="str">
        <f t="shared" si="2"/>
        <v>----</v>
      </c>
    </row>
    <row r="16" spans="1:11">
      <c r="A16" s="102"/>
      <c r="B16" s="103"/>
      <c r="C16" s="770"/>
      <c r="D16" s="729"/>
      <c r="E16" s="739"/>
      <c r="F16" s="825" t="str">
        <f t="shared" si="0"/>
        <v>----</v>
      </c>
      <c r="G16" s="739"/>
      <c r="H16" s="825" t="str">
        <f t="shared" si="1"/>
        <v>----</v>
      </c>
      <c r="I16" s="734"/>
      <c r="J16" s="827" t="str">
        <f t="shared" si="2"/>
        <v>----</v>
      </c>
    </row>
    <row r="17" spans="1:10">
      <c r="A17" s="102"/>
      <c r="B17" s="103"/>
      <c r="C17" s="770"/>
      <c r="D17" s="729"/>
      <c r="E17" s="739"/>
      <c r="F17" s="825" t="str">
        <f t="shared" si="0"/>
        <v>----</v>
      </c>
      <c r="G17" s="739"/>
      <c r="H17" s="825" t="str">
        <f t="shared" si="1"/>
        <v>----</v>
      </c>
      <c r="I17" s="734"/>
      <c r="J17" s="827" t="str">
        <f t="shared" si="2"/>
        <v>----</v>
      </c>
    </row>
    <row r="18" spans="1:10">
      <c r="A18" s="102"/>
      <c r="B18" s="103"/>
      <c r="C18" s="770"/>
      <c r="D18" s="729"/>
      <c r="E18" s="739"/>
      <c r="F18" s="825" t="str">
        <f t="shared" si="0"/>
        <v>----</v>
      </c>
      <c r="G18" s="739"/>
      <c r="H18" s="825" t="str">
        <f t="shared" si="1"/>
        <v>----</v>
      </c>
      <c r="I18" s="734"/>
      <c r="J18" s="827" t="str">
        <f t="shared" si="2"/>
        <v>----</v>
      </c>
    </row>
    <row r="19" spans="1:10">
      <c r="A19" s="102"/>
      <c r="B19" s="103"/>
      <c r="C19" s="770"/>
      <c r="D19" s="729"/>
      <c r="E19" s="739"/>
      <c r="F19" s="825" t="str">
        <f t="shared" si="0"/>
        <v>----</v>
      </c>
      <c r="G19" s="739"/>
      <c r="H19" s="825" t="str">
        <f t="shared" si="1"/>
        <v>----</v>
      </c>
      <c r="I19" s="734"/>
      <c r="J19" s="827" t="str">
        <f t="shared" si="2"/>
        <v>----</v>
      </c>
    </row>
    <row r="20" spans="1:10">
      <c r="A20" s="102"/>
      <c r="B20" s="103"/>
      <c r="C20" s="770"/>
      <c r="D20" s="729"/>
      <c r="E20" s="739"/>
      <c r="F20" s="825" t="str">
        <f t="shared" si="0"/>
        <v>----</v>
      </c>
      <c r="G20" s="739"/>
      <c r="H20" s="825" t="str">
        <f t="shared" si="1"/>
        <v>----</v>
      </c>
      <c r="I20" s="734"/>
      <c r="J20" s="827" t="str">
        <f t="shared" si="2"/>
        <v>----</v>
      </c>
    </row>
    <row r="21" spans="1:10">
      <c r="A21" s="116"/>
      <c r="B21" s="117"/>
      <c r="C21" s="773"/>
      <c r="D21" s="789"/>
      <c r="E21" s="740"/>
      <c r="F21" s="825" t="str">
        <f t="shared" si="0"/>
        <v>----</v>
      </c>
      <c r="G21" s="740"/>
      <c r="H21" s="825" t="str">
        <f t="shared" si="1"/>
        <v>----</v>
      </c>
      <c r="I21" s="735"/>
      <c r="J21" s="827" t="str">
        <f t="shared" si="2"/>
        <v>----</v>
      </c>
    </row>
    <row r="22" spans="1:10" ht="15.75" thickBot="1">
      <c r="A22" s="74"/>
      <c r="B22" s="75"/>
      <c r="C22" s="783"/>
      <c r="D22" s="790"/>
      <c r="E22" s="796"/>
      <c r="F22" s="801" t="str">
        <f t="shared" si="0"/>
        <v>----</v>
      </c>
      <c r="G22" s="796"/>
      <c r="H22" s="801" t="str">
        <f t="shared" si="1"/>
        <v>----</v>
      </c>
      <c r="I22" s="793"/>
      <c r="J22" s="802" t="str">
        <f t="shared" si="2"/>
        <v>----</v>
      </c>
    </row>
    <row r="23" spans="1:10" ht="15.75" thickBot="1">
      <c r="A23" s="27"/>
      <c r="B23" s="27"/>
      <c r="C23" s="814"/>
      <c r="D23" s="814"/>
      <c r="E23" s="814"/>
      <c r="F23" s="815">
        <f>SUM(F4:F22)</f>
        <v>0</v>
      </c>
      <c r="G23" s="814"/>
      <c r="H23" s="815">
        <f>SUM(H4:H22)</f>
        <v>-9666.359999999986</v>
      </c>
      <c r="I23" s="814"/>
      <c r="J23" s="815">
        <f>SUM(J4:J22)</f>
        <v>32784.98000000004</v>
      </c>
    </row>
  </sheetData>
  <mergeCells count="9">
    <mergeCell ref="A1:J1"/>
    <mergeCell ref="A7:A8"/>
    <mergeCell ref="E2:F2"/>
    <mergeCell ref="I2:J2"/>
    <mergeCell ref="A2:A3"/>
    <mergeCell ref="B2:B3"/>
    <mergeCell ref="C2:C3"/>
    <mergeCell ref="D2:D3"/>
    <mergeCell ref="G2:H2"/>
  </mergeCells>
  <phoneticPr fontId="17" type="noConversion"/>
  <pageMargins left="0.7" right="0.7" top="0.75" bottom="0.75" header="0.3" footer="0.3"/>
  <pageSetup orientation="portrait" horizontalDpi="1200" verticalDpi="12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22FF-CB15-485A-A5E9-59D9F4B6ADC4}">
  <dimension ref="A1:K22"/>
  <sheetViews>
    <sheetView workbookViewId="0">
      <selection activeCell="N13" sqref="N13"/>
    </sheetView>
  </sheetViews>
  <sheetFormatPr defaultRowHeight="15"/>
  <cols>
    <col min="2" max="2" width="22.85546875" bestFit="1" customWidth="1"/>
    <col min="3" max="3" width="10.7109375" bestFit="1" customWidth="1"/>
    <col min="4" max="4" width="11.7109375" customWidth="1"/>
    <col min="5" max="5" width="10.85546875" style="432" customWidth="1"/>
    <col min="6" max="6" width="13" style="432" customWidth="1"/>
    <col min="7" max="7" width="10.85546875" style="432" customWidth="1"/>
    <col min="8" max="8" width="13" style="432" customWidth="1"/>
    <col min="9" max="9" width="10.85546875" customWidth="1"/>
    <col min="10" max="10" width="13" customWidth="1"/>
  </cols>
  <sheetData>
    <row r="1" spans="1:11" ht="15.75" thickBot="1">
      <c r="A1" s="952" t="s">
        <v>159</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46.5" thickBot="1">
      <c r="A3" s="960"/>
      <c r="B3" s="962"/>
      <c r="C3" s="962"/>
      <c r="D3" s="974"/>
      <c r="E3" s="460" t="s">
        <v>121</v>
      </c>
      <c r="F3" s="468" t="s">
        <v>113</v>
      </c>
      <c r="G3" s="460" t="s">
        <v>121</v>
      </c>
      <c r="H3" s="468" t="s">
        <v>113</v>
      </c>
      <c r="I3" s="478" t="s">
        <v>121</v>
      </c>
      <c r="J3" s="25" t="s">
        <v>113</v>
      </c>
    </row>
    <row r="4" spans="1:11">
      <c r="A4" s="70">
        <v>43816</v>
      </c>
      <c r="B4" s="71" t="s">
        <v>160</v>
      </c>
      <c r="C4" s="781">
        <v>474997.6</v>
      </c>
      <c r="D4" s="787">
        <f>C4</f>
        <v>474997.6</v>
      </c>
      <c r="E4" s="794"/>
      <c r="F4" s="803" t="str">
        <f t="shared" ref="F4:F21" si="0">IF(ISBLANK(E4),"----",E4-D4)</f>
        <v>----</v>
      </c>
      <c r="G4" s="794">
        <v>468460.44</v>
      </c>
      <c r="H4" s="803">
        <f t="shared" ref="H4:H21" si="1">IF(OR(G4="Complete",ISBLANK(G4)),"----",G4-$D4)</f>
        <v>-6537.1599999999744</v>
      </c>
      <c r="I4" s="791"/>
      <c r="J4" s="804" t="str">
        <f t="shared" ref="J4:J21" si="2">IF(OR(I4="Complete",ISBLANK(I4)),"----",I4-$D4)</f>
        <v>----</v>
      </c>
    </row>
    <row r="5" spans="1:11">
      <c r="A5" s="88">
        <v>44271</v>
      </c>
      <c r="B5" s="101" t="s">
        <v>413</v>
      </c>
      <c r="C5" s="784">
        <v>165849.29999999999</v>
      </c>
      <c r="D5" s="788">
        <f>C5</f>
        <v>165849.29999999999</v>
      </c>
      <c r="E5" s="795"/>
      <c r="F5" s="774" t="str">
        <f t="shared" si="0"/>
        <v>----</v>
      </c>
      <c r="G5" s="795">
        <v>139595.85999999999</v>
      </c>
      <c r="H5" s="774">
        <f t="shared" si="1"/>
        <v>-26253.440000000002</v>
      </c>
      <c r="I5" s="792"/>
      <c r="J5" s="775" t="str">
        <f t="shared" si="2"/>
        <v>----</v>
      </c>
    </row>
    <row r="6" spans="1:11">
      <c r="A6" s="102">
        <v>44271</v>
      </c>
      <c r="B6" s="103" t="s">
        <v>414</v>
      </c>
      <c r="C6" s="770">
        <v>535241.1</v>
      </c>
      <c r="D6" s="729">
        <v>357726.1</v>
      </c>
      <c r="E6" s="739"/>
      <c r="F6" s="774" t="str">
        <f t="shared" si="0"/>
        <v>----</v>
      </c>
      <c r="G6" s="739">
        <f>534629.13-177515</f>
        <v>357114.13</v>
      </c>
      <c r="H6" s="774">
        <f t="shared" si="1"/>
        <v>-611.96999999997206</v>
      </c>
      <c r="I6" s="734" t="s">
        <v>703</v>
      </c>
      <c r="J6" s="775" t="str">
        <f t="shared" si="2"/>
        <v>----</v>
      </c>
      <c r="K6" t="s">
        <v>774</v>
      </c>
    </row>
    <row r="7" spans="1:11">
      <c r="A7" s="102">
        <v>44516</v>
      </c>
      <c r="B7" s="103" t="s">
        <v>474</v>
      </c>
      <c r="C7" s="770">
        <v>209206.8</v>
      </c>
      <c r="D7" s="729">
        <f>C7</f>
        <v>209206.8</v>
      </c>
      <c r="E7" s="739"/>
      <c r="F7" s="774" t="str">
        <f t="shared" si="0"/>
        <v>----</v>
      </c>
      <c r="G7" s="867"/>
      <c r="H7" s="774" t="str">
        <f t="shared" si="1"/>
        <v>----</v>
      </c>
      <c r="I7" s="868"/>
      <c r="J7" s="775" t="str">
        <f t="shared" si="2"/>
        <v>----</v>
      </c>
    </row>
    <row r="8" spans="1:11">
      <c r="A8" s="102">
        <v>45524</v>
      </c>
      <c r="B8" s="450" t="s">
        <v>771</v>
      </c>
      <c r="C8" s="770">
        <v>408541.7</v>
      </c>
      <c r="D8" s="729">
        <f>C8</f>
        <v>408541.7</v>
      </c>
      <c r="E8" s="739"/>
      <c r="F8" s="774" t="str">
        <f t="shared" si="0"/>
        <v>----</v>
      </c>
      <c r="G8" s="739"/>
      <c r="H8" s="774" t="str">
        <f t="shared" si="1"/>
        <v>----</v>
      </c>
      <c r="I8" s="734"/>
      <c r="J8" s="775" t="str">
        <f t="shared" si="2"/>
        <v>----</v>
      </c>
    </row>
    <row r="9" spans="1:11">
      <c r="A9" s="102">
        <v>45888</v>
      </c>
      <c r="B9" s="721" t="s">
        <v>898</v>
      </c>
      <c r="C9" s="770">
        <v>388252.85</v>
      </c>
      <c r="D9" s="729">
        <f>C9</f>
        <v>388252.85</v>
      </c>
      <c r="E9" s="739"/>
      <c r="F9" s="774" t="str">
        <f t="shared" si="0"/>
        <v>----</v>
      </c>
      <c r="G9" s="739"/>
      <c r="H9" s="774" t="str">
        <f t="shared" si="1"/>
        <v>----</v>
      </c>
      <c r="I9" s="734"/>
      <c r="J9" s="775" t="str">
        <f t="shared" si="2"/>
        <v>----</v>
      </c>
    </row>
    <row r="10" spans="1:11">
      <c r="A10" s="102"/>
      <c r="B10" s="103"/>
      <c r="C10" s="770"/>
      <c r="D10" s="729"/>
      <c r="E10" s="739"/>
      <c r="F10" s="774" t="str">
        <f t="shared" si="0"/>
        <v>----</v>
      </c>
      <c r="G10" s="739"/>
      <c r="H10" s="774" t="str">
        <f t="shared" si="1"/>
        <v>----</v>
      </c>
      <c r="I10" s="734"/>
      <c r="J10" s="775" t="str">
        <f t="shared" si="2"/>
        <v>----</v>
      </c>
    </row>
    <row r="11" spans="1:11">
      <c r="A11" s="102"/>
      <c r="B11" s="103"/>
      <c r="C11" s="770"/>
      <c r="D11" s="729"/>
      <c r="E11" s="739"/>
      <c r="F11" s="774" t="str">
        <f t="shared" si="0"/>
        <v>----</v>
      </c>
      <c r="G11" s="739"/>
      <c r="H11" s="774" t="str">
        <f t="shared" si="1"/>
        <v>----</v>
      </c>
      <c r="I11" s="734"/>
      <c r="J11" s="775" t="str">
        <f t="shared" si="2"/>
        <v>----</v>
      </c>
    </row>
    <row r="12" spans="1:11">
      <c r="A12" s="102"/>
      <c r="B12" s="103"/>
      <c r="C12" s="770"/>
      <c r="D12" s="729"/>
      <c r="E12" s="739"/>
      <c r="F12" s="774" t="str">
        <f t="shared" si="0"/>
        <v>----</v>
      </c>
      <c r="G12" s="739"/>
      <c r="H12" s="774" t="str">
        <f t="shared" si="1"/>
        <v>----</v>
      </c>
      <c r="I12" s="734"/>
      <c r="J12" s="775" t="str">
        <f t="shared" si="2"/>
        <v>----</v>
      </c>
    </row>
    <row r="13" spans="1:11">
      <c r="A13" s="102"/>
      <c r="B13" s="103"/>
      <c r="C13" s="770"/>
      <c r="D13" s="729"/>
      <c r="E13" s="739"/>
      <c r="F13" s="774" t="str">
        <f t="shared" si="0"/>
        <v>----</v>
      </c>
      <c r="G13" s="739"/>
      <c r="H13" s="774" t="str">
        <f t="shared" si="1"/>
        <v>----</v>
      </c>
      <c r="I13" s="734"/>
      <c r="J13" s="775" t="str">
        <f t="shared" si="2"/>
        <v>----</v>
      </c>
    </row>
    <row r="14" spans="1:11">
      <c r="A14" s="102"/>
      <c r="B14" s="103"/>
      <c r="C14" s="770"/>
      <c r="D14" s="729"/>
      <c r="E14" s="739"/>
      <c r="F14" s="774" t="str">
        <f t="shared" si="0"/>
        <v>----</v>
      </c>
      <c r="G14" s="739"/>
      <c r="H14" s="774" t="str">
        <f t="shared" si="1"/>
        <v>----</v>
      </c>
      <c r="I14" s="734"/>
      <c r="J14" s="775" t="str">
        <f t="shared" si="2"/>
        <v>----</v>
      </c>
    </row>
    <row r="15" spans="1:11">
      <c r="A15" s="102"/>
      <c r="B15" s="103"/>
      <c r="C15" s="770"/>
      <c r="D15" s="729"/>
      <c r="E15" s="739"/>
      <c r="F15" s="774" t="str">
        <f t="shared" si="0"/>
        <v>----</v>
      </c>
      <c r="G15" s="739"/>
      <c r="H15" s="774" t="str">
        <f t="shared" si="1"/>
        <v>----</v>
      </c>
      <c r="I15" s="734"/>
      <c r="J15" s="775" t="str">
        <f t="shared" si="2"/>
        <v>----</v>
      </c>
    </row>
    <row r="16" spans="1:11">
      <c r="A16" s="102"/>
      <c r="B16" s="103"/>
      <c r="C16" s="770"/>
      <c r="D16" s="729"/>
      <c r="E16" s="739"/>
      <c r="F16" s="774" t="str">
        <f t="shared" si="0"/>
        <v>----</v>
      </c>
      <c r="G16" s="739"/>
      <c r="H16" s="774" t="str">
        <f t="shared" si="1"/>
        <v>----</v>
      </c>
      <c r="I16" s="734"/>
      <c r="J16" s="775" t="str">
        <f t="shared" si="2"/>
        <v>----</v>
      </c>
    </row>
    <row r="17" spans="1:10">
      <c r="A17" s="102"/>
      <c r="B17" s="103"/>
      <c r="C17" s="770"/>
      <c r="D17" s="729"/>
      <c r="E17" s="739"/>
      <c r="F17" s="774" t="str">
        <f t="shared" si="0"/>
        <v>----</v>
      </c>
      <c r="G17" s="739"/>
      <c r="H17" s="774" t="str">
        <f t="shared" si="1"/>
        <v>----</v>
      </c>
      <c r="I17" s="734"/>
      <c r="J17" s="775" t="str">
        <f t="shared" si="2"/>
        <v>----</v>
      </c>
    </row>
    <row r="18" spans="1:10">
      <c r="A18" s="102"/>
      <c r="B18" s="103"/>
      <c r="C18" s="770"/>
      <c r="D18" s="729"/>
      <c r="E18" s="739"/>
      <c r="F18" s="774" t="str">
        <f t="shared" si="0"/>
        <v>----</v>
      </c>
      <c r="G18" s="739"/>
      <c r="H18" s="774" t="str">
        <f t="shared" si="1"/>
        <v>----</v>
      </c>
      <c r="I18" s="734"/>
      <c r="J18" s="775" t="str">
        <f t="shared" si="2"/>
        <v>----</v>
      </c>
    </row>
    <row r="19" spans="1:10">
      <c r="A19" s="102"/>
      <c r="B19" s="103"/>
      <c r="C19" s="770"/>
      <c r="D19" s="729"/>
      <c r="E19" s="739"/>
      <c r="F19" s="774" t="str">
        <f t="shared" si="0"/>
        <v>----</v>
      </c>
      <c r="G19" s="739"/>
      <c r="H19" s="774" t="str">
        <f t="shared" si="1"/>
        <v>----</v>
      </c>
      <c r="I19" s="734"/>
      <c r="J19" s="775" t="str">
        <f t="shared" si="2"/>
        <v>----</v>
      </c>
    </row>
    <row r="20" spans="1:10">
      <c r="A20" s="116"/>
      <c r="B20" s="117"/>
      <c r="C20" s="773"/>
      <c r="D20" s="789"/>
      <c r="E20" s="740"/>
      <c r="F20" s="774" t="str">
        <f t="shared" si="0"/>
        <v>----</v>
      </c>
      <c r="G20" s="740"/>
      <c r="H20" s="774" t="str">
        <f t="shared" si="1"/>
        <v>----</v>
      </c>
      <c r="I20" s="735"/>
      <c r="J20" s="775" t="str">
        <f t="shared" si="2"/>
        <v>----</v>
      </c>
    </row>
    <row r="21" spans="1:10" ht="15.75" thickBot="1">
      <c r="A21" s="74"/>
      <c r="B21" s="75"/>
      <c r="C21" s="783"/>
      <c r="D21" s="790"/>
      <c r="E21" s="796"/>
      <c r="F21" s="801" t="str">
        <f t="shared" si="0"/>
        <v>----</v>
      </c>
      <c r="G21" s="796"/>
      <c r="H21" s="801" t="str">
        <f t="shared" si="1"/>
        <v>----</v>
      </c>
      <c r="I21" s="793"/>
      <c r="J21" s="802" t="str">
        <f t="shared" si="2"/>
        <v>----</v>
      </c>
    </row>
    <row r="22" spans="1:10" ht="15.75" thickBot="1">
      <c r="A22" s="27"/>
      <c r="B22" s="27"/>
      <c r="C22" s="28"/>
      <c r="D22" s="28"/>
      <c r="E22" s="439"/>
      <c r="F22" s="441">
        <f>SUM(F4:F21)</f>
        <v>0</v>
      </c>
      <c r="G22" s="439"/>
      <c r="H22" s="441">
        <f>SUM(H4:H21)</f>
        <v>-33402.569999999949</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F5E8F-9A0E-43FF-971F-7F0983AB0A9C}">
  <dimension ref="A1:K26"/>
  <sheetViews>
    <sheetView workbookViewId="0">
      <selection activeCell="D9" sqref="D9"/>
    </sheetView>
  </sheetViews>
  <sheetFormatPr defaultRowHeight="15"/>
  <cols>
    <col min="2" max="2" width="22.42578125" bestFit="1" customWidth="1"/>
    <col min="3" max="3" width="11.42578125" bestFit="1" customWidth="1"/>
    <col min="4" max="4" width="10.7109375" bestFit="1" customWidth="1"/>
    <col min="5" max="8" width="9.140625" style="432"/>
    <col min="9" max="9" width="9.5703125" bestFit="1" customWidth="1"/>
  </cols>
  <sheetData>
    <row r="1" spans="1:11" ht="15.75" thickBot="1">
      <c r="A1" s="952" t="s">
        <v>287</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69" thickBot="1">
      <c r="A3" s="960"/>
      <c r="B3" s="962"/>
      <c r="C3" s="962"/>
      <c r="D3" s="974"/>
      <c r="E3" s="460" t="s">
        <v>121</v>
      </c>
      <c r="F3" s="468" t="s">
        <v>113</v>
      </c>
      <c r="G3" s="460" t="s">
        <v>121</v>
      </c>
      <c r="H3" s="468" t="s">
        <v>113</v>
      </c>
      <c r="I3" s="478" t="s">
        <v>121</v>
      </c>
      <c r="J3" s="25" t="s">
        <v>113</v>
      </c>
    </row>
    <row r="4" spans="1:11">
      <c r="A4" s="70">
        <v>44580</v>
      </c>
      <c r="B4" s="71" t="s">
        <v>495</v>
      </c>
      <c r="C4" s="781">
        <v>330320.53999999998</v>
      </c>
      <c r="D4" s="787">
        <f>C4</f>
        <v>330320.53999999998</v>
      </c>
      <c r="E4" s="794"/>
      <c r="F4" s="803" t="str">
        <f t="shared" ref="F4:F25" si="0">IF(ISBLANK(E4),"----",E4-D4)</f>
        <v>----</v>
      </c>
      <c r="G4" s="794"/>
      <c r="H4" s="803" t="str">
        <f t="shared" ref="H4:H25" si="1">IF(OR(G4="Complete",ISBLANK(G4)),"----",G4-$D4)</f>
        <v>----</v>
      </c>
      <c r="I4" s="791"/>
      <c r="J4" s="804" t="str">
        <f t="shared" ref="J4:J25" si="2">IF(OR(I4="Complete",ISBLANK(I4)),"----",I4-$D4)</f>
        <v>----</v>
      </c>
    </row>
    <row r="5" spans="1:11">
      <c r="A5" s="88">
        <v>44944</v>
      </c>
      <c r="B5" s="101" t="s">
        <v>632</v>
      </c>
      <c r="C5" s="784">
        <v>571677.49</v>
      </c>
      <c r="D5" s="788">
        <f>C5</f>
        <v>571677.49</v>
      </c>
      <c r="E5" s="795"/>
      <c r="F5" s="807" t="str">
        <f t="shared" si="0"/>
        <v>----</v>
      </c>
      <c r="G5" s="795"/>
      <c r="H5" s="807" t="str">
        <f t="shared" si="1"/>
        <v>----</v>
      </c>
      <c r="I5" s="792">
        <v>589366.92000000004</v>
      </c>
      <c r="J5" s="808">
        <f t="shared" si="2"/>
        <v>17689.430000000051</v>
      </c>
      <c r="K5" t="s">
        <v>867</v>
      </c>
    </row>
    <row r="6" spans="1:11">
      <c r="A6" s="91">
        <v>45188</v>
      </c>
      <c r="B6" s="92" t="s">
        <v>660</v>
      </c>
      <c r="C6" s="782">
        <v>1252888.1499999999</v>
      </c>
      <c r="D6" s="797">
        <f>C6-75000-1000000</f>
        <v>177888.14999999991</v>
      </c>
      <c r="E6" s="799"/>
      <c r="F6" s="662" t="str">
        <f t="shared" si="0"/>
        <v>----</v>
      </c>
      <c r="G6" s="799"/>
      <c r="H6" s="662" t="str">
        <f t="shared" si="1"/>
        <v>----</v>
      </c>
      <c r="I6" s="798"/>
      <c r="J6" s="663" t="str">
        <f t="shared" si="2"/>
        <v>----</v>
      </c>
      <c r="K6" t="s">
        <v>661</v>
      </c>
    </row>
    <row r="7" spans="1:11">
      <c r="A7" s="88">
        <v>45734</v>
      </c>
      <c r="B7" s="697" t="s">
        <v>863</v>
      </c>
      <c r="C7" s="784">
        <v>186029.75</v>
      </c>
      <c r="D7" s="788">
        <f>C7</f>
        <v>186029.75</v>
      </c>
      <c r="E7" s="795"/>
      <c r="F7" s="807" t="str">
        <f t="shared" si="0"/>
        <v>----</v>
      </c>
      <c r="G7" s="795"/>
      <c r="H7" s="807" t="str">
        <f t="shared" si="1"/>
        <v>----</v>
      </c>
      <c r="I7" s="792"/>
      <c r="J7" s="808" t="str">
        <f t="shared" si="2"/>
        <v>----</v>
      </c>
    </row>
    <row r="8" spans="1:11">
      <c r="A8" s="91">
        <v>45762</v>
      </c>
      <c r="B8" s="411" t="s">
        <v>870</v>
      </c>
      <c r="C8" s="782">
        <v>557691.43999999994</v>
      </c>
      <c r="D8" s="797">
        <f>C8</f>
        <v>557691.43999999994</v>
      </c>
      <c r="E8" s="799"/>
      <c r="F8" s="662" t="str">
        <f t="shared" si="0"/>
        <v>----</v>
      </c>
      <c r="G8" s="799"/>
      <c r="H8" s="662" t="str">
        <f t="shared" si="1"/>
        <v>----</v>
      </c>
      <c r="I8" s="798"/>
      <c r="J8" s="663" t="str">
        <f t="shared" si="2"/>
        <v>----</v>
      </c>
    </row>
    <row r="9" spans="1:11">
      <c r="A9" s="88"/>
      <c r="B9" s="101"/>
      <c r="C9" s="784"/>
      <c r="D9" s="788"/>
      <c r="E9" s="795"/>
      <c r="F9" s="807" t="str">
        <f t="shared" si="0"/>
        <v>----</v>
      </c>
      <c r="G9" s="795"/>
      <c r="H9" s="807" t="str">
        <f t="shared" si="1"/>
        <v>----</v>
      </c>
      <c r="I9" s="792"/>
      <c r="J9" s="808" t="str">
        <f t="shared" si="2"/>
        <v>----</v>
      </c>
    </row>
    <row r="10" spans="1:11">
      <c r="A10" s="91"/>
      <c r="B10" s="92"/>
      <c r="C10" s="782"/>
      <c r="D10" s="797"/>
      <c r="E10" s="799"/>
      <c r="F10" s="662" t="str">
        <f t="shared" si="0"/>
        <v>----</v>
      </c>
      <c r="G10" s="799"/>
      <c r="H10" s="662" t="str">
        <f t="shared" si="1"/>
        <v>----</v>
      </c>
      <c r="I10" s="798"/>
      <c r="J10" s="663" t="str">
        <f t="shared" si="2"/>
        <v>----</v>
      </c>
    </row>
    <row r="11" spans="1:11">
      <c r="A11" s="88"/>
      <c r="B11" s="101"/>
      <c r="C11" s="784"/>
      <c r="D11" s="788"/>
      <c r="E11" s="795"/>
      <c r="F11" s="807" t="str">
        <f t="shared" si="0"/>
        <v>----</v>
      </c>
      <c r="G11" s="795"/>
      <c r="H11" s="807" t="str">
        <f t="shared" si="1"/>
        <v>----</v>
      </c>
      <c r="I11" s="792"/>
      <c r="J11" s="808" t="str">
        <f t="shared" si="2"/>
        <v>----</v>
      </c>
    </row>
    <row r="12" spans="1:11">
      <c r="A12" s="91"/>
      <c r="B12" s="92"/>
      <c r="C12" s="782"/>
      <c r="D12" s="797"/>
      <c r="E12" s="799"/>
      <c r="F12" s="662" t="str">
        <f t="shared" si="0"/>
        <v>----</v>
      </c>
      <c r="G12" s="799"/>
      <c r="H12" s="662" t="str">
        <f t="shared" si="1"/>
        <v>----</v>
      </c>
      <c r="I12" s="798"/>
      <c r="J12" s="663" t="str">
        <f t="shared" si="2"/>
        <v>----</v>
      </c>
    </row>
    <row r="13" spans="1:11">
      <c r="A13" s="88"/>
      <c r="B13" s="101"/>
      <c r="C13" s="784"/>
      <c r="D13" s="788"/>
      <c r="E13" s="795"/>
      <c r="F13" s="807" t="str">
        <f t="shared" si="0"/>
        <v>----</v>
      </c>
      <c r="G13" s="795"/>
      <c r="H13" s="807" t="str">
        <f t="shared" si="1"/>
        <v>----</v>
      </c>
      <c r="I13" s="792"/>
      <c r="J13" s="808" t="str">
        <f t="shared" si="2"/>
        <v>----</v>
      </c>
    </row>
    <row r="14" spans="1:11">
      <c r="A14" s="91"/>
      <c r="B14" s="92"/>
      <c r="C14" s="782"/>
      <c r="D14" s="797"/>
      <c r="E14" s="799"/>
      <c r="F14" s="662" t="str">
        <f t="shared" si="0"/>
        <v>----</v>
      </c>
      <c r="G14" s="799"/>
      <c r="H14" s="662" t="str">
        <f t="shared" si="1"/>
        <v>----</v>
      </c>
      <c r="I14" s="798"/>
      <c r="J14" s="663" t="str">
        <f t="shared" si="2"/>
        <v>----</v>
      </c>
    </row>
    <row r="15" spans="1:11">
      <c r="A15" s="88"/>
      <c r="B15" s="101"/>
      <c r="C15" s="784"/>
      <c r="D15" s="788"/>
      <c r="E15" s="795"/>
      <c r="F15" s="807" t="str">
        <f t="shared" si="0"/>
        <v>----</v>
      </c>
      <c r="G15" s="795"/>
      <c r="H15" s="807" t="str">
        <f t="shared" si="1"/>
        <v>----</v>
      </c>
      <c r="I15" s="792"/>
      <c r="J15" s="808" t="str">
        <f t="shared" si="2"/>
        <v>----</v>
      </c>
    </row>
    <row r="16" spans="1:11">
      <c r="A16" s="91"/>
      <c r="B16" s="92"/>
      <c r="C16" s="782"/>
      <c r="D16" s="797"/>
      <c r="E16" s="799"/>
      <c r="F16" s="662" t="str">
        <f t="shared" si="0"/>
        <v>----</v>
      </c>
      <c r="G16" s="799"/>
      <c r="H16" s="662" t="str">
        <f t="shared" si="1"/>
        <v>----</v>
      </c>
      <c r="I16" s="798"/>
      <c r="J16" s="663" t="str">
        <f t="shared" si="2"/>
        <v>----</v>
      </c>
    </row>
    <row r="17" spans="1:10">
      <c r="A17" s="88"/>
      <c r="B17" s="101"/>
      <c r="C17" s="784"/>
      <c r="D17" s="788"/>
      <c r="E17" s="795"/>
      <c r="F17" s="807" t="str">
        <f t="shared" si="0"/>
        <v>----</v>
      </c>
      <c r="G17" s="795"/>
      <c r="H17" s="807" t="str">
        <f t="shared" si="1"/>
        <v>----</v>
      </c>
      <c r="I17" s="792"/>
      <c r="J17" s="808" t="str">
        <f t="shared" si="2"/>
        <v>----</v>
      </c>
    </row>
    <row r="18" spans="1:10">
      <c r="A18" s="91"/>
      <c r="B18" s="92"/>
      <c r="C18" s="782"/>
      <c r="D18" s="797"/>
      <c r="E18" s="799"/>
      <c r="F18" s="662" t="str">
        <f t="shared" si="0"/>
        <v>----</v>
      </c>
      <c r="G18" s="799"/>
      <c r="H18" s="662" t="str">
        <f t="shared" si="1"/>
        <v>----</v>
      </c>
      <c r="I18" s="798"/>
      <c r="J18" s="663" t="str">
        <f t="shared" si="2"/>
        <v>----</v>
      </c>
    </row>
    <row r="19" spans="1:10">
      <c r="A19" s="88"/>
      <c r="B19" s="101"/>
      <c r="C19" s="784"/>
      <c r="D19" s="788"/>
      <c r="E19" s="795"/>
      <c r="F19" s="807" t="str">
        <f t="shared" si="0"/>
        <v>----</v>
      </c>
      <c r="G19" s="795"/>
      <c r="H19" s="807" t="str">
        <f t="shared" si="1"/>
        <v>----</v>
      </c>
      <c r="I19" s="792"/>
      <c r="J19" s="808" t="str">
        <f t="shared" si="2"/>
        <v>----</v>
      </c>
    </row>
    <row r="20" spans="1:10">
      <c r="A20" s="91"/>
      <c r="B20" s="92"/>
      <c r="C20" s="782"/>
      <c r="D20" s="797"/>
      <c r="E20" s="799"/>
      <c r="F20" s="662" t="str">
        <f t="shared" si="0"/>
        <v>----</v>
      </c>
      <c r="G20" s="799"/>
      <c r="H20" s="662" t="str">
        <f t="shared" si="1"/>
        <v>----</v>
      </c>
      <c r="I20" s="798"/>
      <c r="J20" s="663" t="str">
        <f t="shared" si="2"/>
        <v>----</v>
      </c>
    </row>
    <row r="21" spans="1:10">
      <c r="A21" s="88"/>
      <c r="B21" s="101"/>
      <c r="C21" s="784"/>
      <c r="D21" s="788"/>
      <c r="E21" s="795"/>
      <c r="F21" s="807" t="str">
        <f t="shared" si="0"/>
        <v>----</v>
      </c>
      <c r="G21" s="795"/>
      <c r="H21" s="807" t="str">
        <f t="shared" si="1"/>
        <v>----</v>
      </c>
      <c r="I21" s="792"/>
      <c r="J21" s="808" t="str">
        <f t="shared" si="2"/>
        <v>----</v>
      </c>
    </row>
    <row r="22" spans="1:10">
      <c r="A22" s="91"/>
      <c r="B22" s="92"/>
      <c r="C22" s="782"/>
      <c r="D22" s="797"/>
      <c r="E22" s="799"/>
      <c r="F22" s="662" t="str">
        <f t="shared" si="0"/>
        <v>----</v>
      </c>
      <c r="G22" s="799"/>
      <c r="H22" s="662" t="str">
        <f t="shared" si="1"/>
        <v>----</v>
      </c>
      <c r="I22" s="798"/>
      <c r="J22" s="663" t="str">
        <f t="shared" si="2"/>
        <v>----</v>
      </c>
    </row>
    <row r="23" spans="1:10">
      <c r="A23" s="88"/>
      <c r="B23" s="101"/>
      <c r="C23" s="784"/>
      <c r="D23" s="788"/>
      <c r="E23" s="795"/>
      <c r="F23" s="807" t="str">
        <f t="shared" si="0"/>
        <v>----</v>
      </c>
      <c r="G23" s="795"/>
      <c r="H23" s="807" t="str">
        <f t="shared" si="1"/>
        <v>----</v>
      </c>
      <c r="I23" s="792"/>
      <c r="J23" s="808" t="str">
        <f t="shared" si="2"/>
        <v>----</v>
      </c>
    </row>
    <row r="24" spans="1:10">
      <c r="A24" s="91"/>
      <c r="B24" s="92"/>
      <c r="C24" s="782"/>
      <c r="D24" s="797"/>
      <c r="E24" s="799"/>
      <c r="F24" s="662" t="str">
        <f t="shared" si="0"/>
        <v>----</v>
      </c>
      <c r="G24" s="799"/>
      <c r="H24" s="662" t="str">
        <f t="shared" si="1"/>
        <v>----</v>
      </c>
      <c r="I24" s="798"/>
      <c r="J24" s="663" t="str">
        <f t="shared" si="2"/>
        <v>----</v>
      </c>
    </row>
    <row r="25" spans="1:10" ht="15.75" thickBot="1">
      <c r="A25" s="74"/>
      <c r="B25" s="75"/>
      <c r="C25" s="783"/>
      <c r="D25" s="790"/>
      <c r="E25" s="796"/>
      <c r="F25" s="801" t="str">
        <f t="shared" si="0"/>
        <v>----</v>
      </c>
      <c r="G25" s="796"/>
      <c r="H25" s="801" t="str">
        <f t="shared" si="1"/>
        <v>----</v>
      </c>
      <c r="I25" s="793"/>
      <c r="J25" s="802" t="str">
        <f t="shared" si="2"/>
        <v>----</v>
      </c>
    </row>
    <row r="26" spans="1:10" ht="15.75" thickBot="1">
      <c r="A26" s="27"/>
      <c r="B26" s="27"/>
      <c r="C26" s="814"/>
      <c r="D26" s="814"/>
      <c r="E26" s="814"/>
      <c r="F26" s="815">
        <f>SUM(F4:F25)</f>
        <v>0</v>
      </c>
      <c r="G26" s="814"/>
      <c r="H26" s="815">
        <f>SUM(H4:H25)</f>
        <v>0</v>
      </c>
      <c r="I26" s="814"/>
      <c r="J26" s="815">
        <f>SUM(J4:J25)</f>
        <v>17689.430000000051</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6D063-0ED3-4BFC-B52A-2E0E294DA948}">
  <dimension ref="A1:K35"/>
  <sheetViews>
    <sheetView workbookViewId="0">
      <selection activeCell="H14" sqref="H14"/>
    </sheetView>
  </sheetViews>
  <sheetFormatPr defaultRowHeight="15"/>
  <cols>
    <col min="2" max="2" width="13.85546875" bestFit="1" customWidth="1"/>
    <col min="3" max="3" width="16.28515625" customWidth="1"/>
    <col min="4" max="4" width="13.85546875" bestFit="1" customWidth="1"/>
    <col min="5" max="5" width="16.5703125" customWidth="1"/>
    <col min="6" max="6" width="13.85546875" hidden="1" customWidth="1"/>
    <col min="7" max="7" width="14.5703125" hidden="1" customWidth="1"/>
    <col min="8" max="8" width="24.7109375" bestFit="1" customWidth="1"/>
    <col min="9" max="9" width="31.28515625" bestFit="1" customWidth="1"/>
    <col min="10" max="10" width="7.5703125" customWidth="1"/>
    <col min="11" max="11" width="13.85546875" bestFit="1" customWidth="1"/>
  </cols>
  <sheetData>
    <row r="1" spans="1:11">
      <c r="A1" t="s">
        <v>496</v>
      </c>
    </row>
    <row r="2" spans="1:11" ht="30">
      <c r="A2" s="131" t="s">
        <v>347</v>
      </c>
      <c r="B2" s="131" t="s">
        <v>348</v>
      </c>
      <c r="C2" s="262" t="s">
        <v>498</v>
      </c>
      <c r="D2" s="131" t="s">
        <v>349</v>
      </c>
      <c r="E2" s="131" t="s">
        <v>350</v>
      </c>
      <c r="F2" s="136" t="s">
        <v>351</v>
      </c>
      <c r="G2" s="136" t="s">
        <v>352</v>
      </c>
      <c r="H2" s="137" t="s">
        <v>353</v>
      </c>
      <c r="I2" s="137" t="s">
        <v>354</v>
      </c>
      <c r="J2" s="136"/>
    </row>
    <row r="3" spans="1:11">
      <c r="A3" s="134">
        <v>2015</v>
      </c>
      <c r="B3" s="135"/>
      <c r="C3" s="135"/>
      <c r="D3" s="135"/>
      <c r="E3" s="135">
        <v>32819164.27</v>
      </c>
      <c r="H3" s="132"/>
      <c r="I3" s="132"/>
    </row>
    <row r="4" spans="1:11">
      <c r="A4" s="134">
        <v>2016</v>
      </c>
      <c r="B4" s="135">
        <v>33117000</v>
      </c>
      <c r="C4" s="135"/>
      <c r="D4" s="135">
        <v>40950882.340000004</v>
      </c>
      <c r="E4" s="135">
        <v>24985281.93</v>
      </c>
      <c r="F4" s="22">
        <f>E3+B4-D4</f>
        <v>24985281.929999992</v>
      </c>
      <c r="G4" s="22">
        <f>E4-F4</f>
        <v>0</v>
      </c>
      <c r="H4" s="133">
        <f t="shared" ref="H4:H10" si="0">E4-E3</f>
        <v>-7833882.3399999999</v>
      </c>
      <c r="I4" s="133"/>
      <c r="J4" s="22"/>
    </row>
    <row r="5" spans="1:11">
      <c r="A5" s="132">
        <v>2017</v>
      </c>
      <c r="B5" s="133">
        <v>33236012</v>
      </c>
      <c r="C5" s="133"/>
      <c r="D5" s="133">
        <v>41705848.640000001</v>
      </c>
      <c r="E5" s="133">
        <v>16515445.300000001</v>
      </c>
      <c r="F5" s="22">
        <f t="shared" ref="F5:F9" si="1">E4+B5-D5</f>
        <v>16515445.289999999</v>
      </c>
      <c r="G5" s="22">
        <f t="shared" ref="G5:G9" si="2">E5-F5</f>
        <v>1.0000001639127731E-2</v>
      </c>
      <c r="H5" s="133">
        <f t="shared" si="0"/>
        <v>-8469836.629999999</v>
      </c>
      <c r="I5" s="133">
        <f t="shared" ref="I5:I10" si="3">D5-D4</f>
        <v>754966.29999999702</v>
      </c>
      <c r="J5" s="22"/>
    </row>
    <row r="6" spans="1:11">
      <c r="A6" s="132">
        <v>2018</v>
      </c>
      <c r="B6" s="133">
        <v>36133449.119999997</v>
      </c>
      <c r="C6" s="133"/>
      <c r="D6" s="133">
        <v>48422819.990000002</v>
      </c>
      <c r="E6" s="133">
        <v>4226074.43</v>
      </c>
      <c r="F6" s="22">
        <f t="shared" si="1"/>
        <v>4226074.43</v>
      </c>
      <c r="G6" s="22">
        <f t="shared" si="2"/>
        <v>0</v>
      </c>
      <c r="H6" s="133">
        <f t="shared" si="0"/>
        <v>-12289370.870000001</v>
      </c>
      <c r="I6" s="133">
        <f t="shared" si="3"/>
        <v>6716971.3500000015</v>
      </c>
      <c r="J6" s="22"/>
      <c r="K6" t="s">
        <v>499</v>
      </c>
    </row>
    <row r="7" spans="1:11">
      <c r="A7" s="132">
        <v>2019</v>
      </c>
      <c r="B7" s="133">
        <v>36868754</v>
      </c>
      <c r="D7" s="133">
        <v>46304339.170000002</v>
      </c>
      <c r="E7" s="133">
        <v>-5209510.74</v>
      </c>
      <c r="F7" s="22">
        <f t="shared" si="1"/>
        <v>-5209510.7400000021</v>
      </c>
      <c r="G7" s="22">
        <f t="shared" si="2"/>
        <v>0</v>
      </c>
      <c r="H7" s="133">
        <f t="shared" si="0"/>
        <v>-9435585.1699999999</v>
      </c>
      <c r="I7" s="133">
        <f t="shared" si="3"/>
        <v>-2118480.8200000003</v>
      </c>
      <c r="J7" s="22"/>
    </row>
    <row r="8" spans="1:11">
      <c r="A8" s="132">
        <v>2020</v>
      </c>
      <c r="B8" s="263">
        <v>36027029.895000003</v>
      </c>
      <c r="C8" s="133">
        <v>17502999.999999993</v>
      </c>
      <c r="D8" s="133">
        <v>55276042.909999996</v>
      </c>
      <c r="E8" s="139">
        <f>E7+B8+C8-D8</f>
        <v>-6955523.7550000027</v>
      </c>
      <c r="F8" s="22">
        <f t="shared" si="1"/>
        <v>-24458523.754999995</v>
      </c>
      <c r="G8" s="22">
        <f t="shared" si="2"/>
        <v>17502999.999999993</v>
      </c>
      <c r="H8" s="133">
        <f t="shared" si="0"/>
        <v>-1746013.0150000025</v>
      </c>
      <c r="I8" s="133">
        <f t="shared" si="3"/>
        <v>8971703.7399999946</v>
      </c>
      <c r="J8" s="22"/>
      <c r="K8" s="139"/>
    </row>
    <row r="9" spans="1:11">
      <c r="A9" s="132">
        <v>2021</v>
      </c>
      <c r="B9" s="133">
        <v>35110164.158</v>
      </c>
      <c r="C9" s="133">
        <f>16282978.5+14148803.88</f>
        <v>30431782.380000003</v>
      </c>
      <c r="D9" s="139">
        <v>55083652.910000004</v>
      </c>
      <c r="E9" s="139">
        <f>E8+B9+C9-D9</f>
        <v>3502769.8729999959</v>
      </c>
      <c r="F9" s="22">
        <f t="shared" si="1"/>
        <v>-26929012.507000007</v>
      </c>
      <c r="G9" s="22">
        <f t="shared" si="2"/>
        <v>30431782.380000003</v>
      </c>
      <c r="H9" s="133">
        <f t="shared" si="0"/>
        <v>10458293.627999999</v>
      </c>
      <c r="I9" s="133">
        <f t="shared" si="3"/>
        <v>-192389.99999999255</v>
      </c>
      <c r="J9" s="22"/>
    </row>
    <row r="10" spans="1:11">
      <c r="A10" s="132">
        <v>2022</v>
      </c>
      <c r="B10" s="265">
        <f>Worksheet!D104</f>
        <v>56471448.000000015</v>
      </c>
      <c r="C10" s="133"/>
      <c r="D10" s="265">
        <f>Worksheet!O104</f>
        <v>48060829.886000015</v>
      </c>
      <c r="E10" s="265">
        <f>E9+B10+C10-D10</f>
        <v>11913387.986999996</v>
      </c>
      <c r="F10" s="22"/>
      <c r="G10" s="22"/>
      <c r="H10" s="265">
        <f t="shared" si="0"/>
        <v>8410618.1140000001</v>
      </c>
      <c r="I10" s="265">
        <f t="shared" si="3"/>
        <v>-7022823.023999989</v>
      </c>
      <c r="J10" s="22"/>
    </row>
    <row r="11" spans="1:11">
      <c r="B11" s="264" t="s">
        <v>500</v>
      </c>
      <c r="D11" s="989" t="s">
        <v>501</v>
      </c>
      <c r="E11" s="989"/>
      <c r="F11" s="989"/>
      <c r="G11" s="989"/>
      <c r="H11" s="989"/>
      <c r="I11" s="989"/>
    </row>
    <row r="15" spans="1:11">
      <c r="A15" t="s">
        <v>497</v>
      </c>
    </row>
    <row r="16" spans="1:11" ht="30">
      <c r="A16" s="131" t="s">
        <v>347</v>
      </c>
      <c r="B16" s="131" t="s">
        <v>348</v>
      </c>
      <c r="C16" s="262" t="s">
        <v>498</v>
      </c>
      <c r="D16" s="131" t="s">
        <v>349</v>
      </c>
      <c r="E16" s="131" t="s">
        <v>350</v>
      </c>
      <c r="F16" s="136" t="s">
        <v>351</v>
      </c>
      <c r="G16" s="136" t="s">
        <v>352</v>
      </c>
      <c r="H16" s="137" t="s">
        <v>353</v>
      </c>
      <c r="I16" s="137" t="s">
        <v>354</v>
      </c>
    </row>
    <row r="17" spans="1:9">
      <c r="A17" s="134">
        <v>2015</v>
      </c>
      <c r="B17" s="135"/>
      <c r="C17" s="135"/>
      <c r="D17" s="135"/>
      <c r="E17" s="135">
        <v>32819164.27</v>
      </c>
      <c r="H17" s="132"/>
      <c r="I17" s="132"/>
    </row>
    <row r="18" spans="1:9">
      <c r="A18" s="134">
        <v>2016</v>
      </c>
      <c r="B18" s="135">
        <v>33117000</v>
      </c>
      <c r="C18" s="135"/>
      <c r="D18" s="135">
        <v>40950882.340000004</v>
      </c>
      <c r="E18" s="135">
        <v>24985281.93</v>
      </c>
      <c r="F18" s="22">
        <f>E17+B18-D18</f>
        <v>24985281.929999992</v>
      </c>
      <c r="G18" s="22">
        <f>E18-F18</f>
        <v>0</v>
      </c>
      <c r="H18" s="133">
        <f t="shared" ref="H18:H23" si="4">E18-E17</f>
        <v>-7833882.3399999999</v>
      </c>
      <c r="I18" s="133"/>
    </row>
    <row r="19" spans="1:9">
      <c r="A19" s="132">
        <v>2017</v>
      </c>
      <c r="B19" s="133">
        <v>33236012</v>
      </c>
      <c r="C19" s="133"/>
      <c r="D19" s="133">
        <v>41705848.640000001</v>
      </c>
      <c r="E19" s="133">
        <v>16515445.300000001</v>
      </c>
      <c r="F19" s="22">
        <f t="shared" ref="F19:F24" si="5">E18+B19-D19</f>
        <v>16515445.289999999</v>
      </c>
      <c r="G19" s="22">
        <f t="shared" ref="G19:G24" si="6">E19-F19</f>
        <v>1.0000001639127731E-2</v>
      </c>
      <c r="H19" s="133">
        <f t="shared" si="4"/>
        <v>-8469836.629999999</v>
      </c>
      <c r="I19" s="133">
        <f>D19-D18</f>
        <v>754966.29999999702</v>
      </c>
    </row>
    <row r="20" spans="1:9">
      <c r="A20" s="132">
        <v>2018</v>
      </c>
      <c r="B20" s="133">
        <v>36133449.119999997</v>
      </c>
      <c r="C20" s="133"/>
      <c r="D20" s="133">
        <v>48422819.990000002</v>
      </c>
      <c r="E20" s="133">
        <v>4226074.43</v>
      </c>
      <c r="F20" s="22">
        <f t="shared" si="5"/>
        <v>4226074.43</v>
      </c>
      <c r="G20" s="22">
        <f t="shared" si="6"/>
        <v>0</v>
      </c>
      <c r="H20" s="133">
        <f t="shared" si="4"/>
        <v>-12289370.870000001</v>
      </c>
      <c r="I20" s="133">
        <f>D20-D19</f>
        <v>6716971.3500000015</v>
      </c>
    </row>
    <row r="21" spans="1:9">
      <c r="A21" s="132">
        <v>2019</v>
      </c>
      <c r="B21" s="133">
        <v>36868754</v>
      </c>
      <c r="C21" s="133"/>
      <c r="D21" s="133">
        <v>46304339.170000002</v>
      </c>
      <c r="E21" s="133">
        <v>-5209510.74</v>
      </c>
      <c r="F21" s="22">
        <f t="shared" si="5"/>
        <v>-5209510.7400000021</v>
      </c>
      <c r="G21" s="22">
        <f t="shared" si="6"/>
        <v>0</v>
      </c>
      <c r="H21" s="133">
        <f t="shared" si="4"/>
        <v>-9435585.1699999999</v>
      </c>
      <c r="I21" s="133">
        <f>D21-D20</f>
        <v>-2118480.8200000003</v>
      </c>
    </row>
    <row r="22" spans="1:9">
      <c r="A22" s="132">
        <v>2020</v>
      </c>
      <c r="B22" s="263">
        <v>36027029.895000003</v>
      </c>
      <c r="C22" s="133">
        <v>17502999.999999993</v>
      </c>
      <c r="D22" s="133">
        <v>55276042.909999996</v>
      </c>
      <c r="E22" s="139">
        <f>E21+B22+C22-D22</f>
        <v>-6955523.7550000027</v>
      </c>
      <c r="F22" s="22">
        <f t="shared" si="5"/>
        <v>-24458523.754999995</v>
      </c>
      <c r="G22" s="22">
        <f t="shared" si="6"/>
        <v>17502999.999999993</v>
      </c>
      <c r="H22" s="133">
        <f t="shared" si="4"/>
        <v>-1746013.0150000025</v>
      </c>
      <c r="I22" s="133">
        <f>D22-D21</f>
        <v>8971703.7399999946</v>
      </c>
    </row>
    <row r="23" spans="1:9">
      <c r="A23" s="132">
        <v>2021</v>
      </c>
      <c r="B23" s="133">
        <v>35110164.158</v>
      </c>
      <c r="C23" s="133">
        <f>16282978.5+14148803.88</f>
        <v>30431782.380000003</v>
      </c>
      <c r="D23" s="138">
        <v>91731384</v>
      </c>
      <c r="E23" s="138">
        <f>E22+B23+C23-D23</f>
        <v>-33144961.217</v>
      </c>
      <c r="F23" s="22">
        <f t="shared" si="5"/>
        <v>-63576743.597000003</v>
      </c>
      <c r="G23" s="22">
        <f t="shared" si="6"/>
        <v>30431782.380000003</v>
      </c>
      <c r="H23" s="133">
        <f t="shared" si="4"/>
        <v>-26189437.461999997</v>
      </c>
      <c r="I23" s="133">
        <f>D23-D22</f>
        <v>36455341.090000004</v>
      </c>
    </row>
    <row r="24" spans="1:9">
      <c r="D24" t="s">
        <v>355</v>
      </c>
      <c r="F24" s="22" t="e">
        <f t="shared" si="5"/>
        <v>#VALUE!</v>
      </c>
      <c r="G24" s="22" t="e">
        <f t="shared" si="6"/>
        <v>#VALUE!</v>
      </c>
      <c r="I24" s="133"/>
    </row>
    <row r="27" spans="1:9" ht="30">
      <c r="A27" s="131" t="s">
        <v>347</v>
      </c>
      <c r="B27" s="131" t="s">
        <v>348</v>
      </c>
      <c r="C27" s="262" t="s">
        <v>498</v>
      </c>
      <c r="D27" s="131" t="s">
        <v>349</v>
      </c>
      <c r="E27" s="131" t="s">
        <v>350</v>
      </c>
      <c r="F27" s="136" t="s">
        <v>351</v>
      </c>
      <c r="G27" s="136" t="s">
        <v>352</v>
      </c>
      <c r="H27" s="137" t="s">
        <v>353</v>
      </c>
      <c r="I27" s="137" t="s">
        <v>354</v>
      </c>
    </row>
    <row r="28" spans="1:9">
      <c r="A28" s="134">
        <v>2015</v>
      </c>
      <c r="B28" s="135"/>
      <c r="C28" s="135"/>
      <c r="D28" s="135"/>
      <c r="E28" s="135">
        <v>32819164.27</v>
      </c>
      <c r="H28" s="132"/>
      <c r="I28" s="132"/>
    </row>
    <row r="29" spans="1:9">
      <c r="A29" s="134">
        <v>2016</v>
      </c>
      <c r="B29" s="135">
        <v>33117000</v>
      </c>
      <c r="C29" s="135"/>
      <c r="D29" s="135">
        <v>40950882.340000004</v>
      </c>
      <c r="E29" s="135">
        <v>24985281.93</v>
      </c>
      <c r="F29" s="22">
        <f>E28+B29-D29</f>
        <v>24985281.929999992</v>
      </c>
      <c r="G29" s="22">
        <f>E29-F29</f>
        <v>0</v>
      </c>
      <c r="H29" s="133">
        <f t="shared" ref="H29:H34" si="7">E29-E28</f>
        <v>-7833882.3399999999</v>
      </c>
      <c r="I29" s="133"/>
    </row>
    <row r="30" spans="1:9">
      <c r="A30" s="132">
        <v>2017</v>
      </c>
      <c r="B30" s="133">
        <v>33236012</v>
      </c>
      <c r="C30" s="133"/>
      <c r="D30" s="133">
        <v>41705848.640000001</v>
      </c>
      <c r="E30" s="133">
        <v>16515445.300000001</v>
      </c>
      <c r="F30" s="22">
        <f t="shared" ref="F30:F35" si="8">E29+B30-D30</f>
        <v>16515445.289999999</v>
      </c>
      <c r="G30" s="22">
        <f t="shared" ref="G30:G35" si="9">E30-F30</f>
        <v>1.0000001639127731E-2</v>
      </c>
      <c r="H30" s="133">
        <f t="shared" si="7"/>
        <v>-8469836.629999999</v>
      </c>
      <c r="I30" s="133">
        <f>D30-D29</f>
        <v>754966.29999999702</v>
      </c>
    </row>
    <row r="31" spans="1:9">
      <c r="A31" s="132">
        <v>2018</v>
      </c>
      <c r="B31" s="133">
        <v>36133449.119999997</v>
      </c>
      <c r="C31" s="133"/>
      <c r="D31" s="133">
        <v>48422819.990000002</v>
      </c>
      <c r="E31" s="133">
        <v>4226074.43</v>
      </c>
      <c r="F31" s="22">
        <f t="shared" si="8"/>
        <v>4226074.43</v>
      </c>
      <c r="G31" s="22">
        <f t="shared" si="9"/>
        <v>0</v>
      </c>
      <c r="H31" s="133">
        <f t="shared" si="7"/>
        <v>-12289370.870000001</v>
      </c>
      <c r="I31" s="133">
        <f>D31-D30</f>
        <v>6716971.3500000015</v>
      </c>
    </row>
    <row r="32" spans="1:9">
      <c r="A32" s="132">
        <v>2019</v>
      </c>
      <c r="B32" s="133">
        <v>36868754</v>
      </c>
      <c r="C32" s="133"/>
      <c r="D32" s="133">
        <v>46304339.170000002</v>
      </c>
      <c r="E32" s="133">
        <v>-5209510.74</v>
      </c>
      <c r="F32" s="22">
        <f t="shared" si="8"/>
        <v>-5209510.7400000021</v>
      </c>
      <c r="G32" s="22">
        <f t="shared" si="9"/>
        <v>0</v>
      </c>
      <c r="H32" s="133">
        <f t="shared" si="7"/>
        <v>-9435585.1699999999</v>
      </c>
      <c r="I32" s="133">
        <f>D32-D31</f>
        <v>-2118480.8200000003</v>
      </c>
    </row>
    <row r="33" spans="1:9">
      <c r="A33" s="132">
        <v>2020</v>
      </c>
      <c r="B33" s="263">
        <v>36027029.895000003</v>
      </c>
      <c r="C33" s="133">
        <v>17502999.999999993</v>
      </c>
      <c r="D33" s="133">
        <v>55276042.909999996</v>
      </c>
      <c r="E33" s="139">
        <f>E32+B33+C33-D33</f>
        <v>-6955523.7550000027</v>
      </c>
      <c r="F33" s="22">
        <f t="shared" si="8"/>
        <v>-24458523.754999995</v>
      </c>
      <c r="G33" s="22">
        <f t="shared" si="9"/>
        <v>17502999.999999993</v>
      </c>
      <c r="H33" s="133">
        <f t="shared" si="7"/>
        <v>-1746013.0150000025</v>
      </c>
      <c r="I33" s="133">
        <f>D33-D32</f>
        <v>8971703.7399999946</v>
      </c>
    </row>
    <row r="34" spans="1:9">
      <c r="A34" s="132">
        <v>2021</v>
      </c>
      <c r="B34" s="133">
        <v>35110164.158</v>
      </c>
      <c r="C34" s="133">
        <f>16282978.5+14148803.88</f>
        <v>30431782.380000003</v>
      </c>
      <c r="D34" s="138">
        <f>D23*0.6</f>
        <v>55038830.399999999</v>
      </c>
      <c r="E34" s="138">
        <f>E33+B34+C34-D34</f>
        <v>3547592.3830000013</v>
      </c>
      <c r="F34" s="22">
        <f t="shared" si="8"/>
        <v>-26884189.997000001</v>
      </c>
      <c r="G34" s="22">
        <f t="shared" si="9"/>
        <v>30431782.380000003</v>
      </c>
      <c r="H34" s="133">
        <f t="shared" si="7"/>
        <v>10503116.138000004</v>
      </c>
      <c r="I34" s="133">
        <f>D34-D33</f>
        <v>-237212.50999999791</v>
      </c>
    </row>
    <row r="35" spans="1:9">
      <c r="D35" t="s">
        <v>356</v>
      </c>
      <c r="F35" s="22" t="e">
        <f t="shared" si="8"/>
        <v>#VALUE!</v>
      </c>
      <c r="G35" s="22" t="e">
        <f t="shared" si="9"/>
        <v>#VALUE!</v>
      </c>
      <c r="I35" s="133"/>
    </row>
  </sheetData>
  <mergeCells count="1">
    <mergeCell ref="D11:I11"/>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B00C-4F78-4BD8-843A-F8657503286E}">
  <dimension ref="A1:J24"/>
  <sheetViews>
    <sheetView workbookViewId="0">
      <selection activeCell="L22" sqref="L22"/>
    </sheetView>
  </sheetViews>
  <sheetFormatPr defaultRowHeight="15"/>
  <cols>
    <col min="2" max="2" width="22.85546875" bestFit="1" customWidth="1"/>
    <col min="3" max="3" width="12.5703125" bestFit="1" customWidth="1"/>
    <col min="4" max="4" width="14.140625" customWidth="1"/>
    <col min="5" max="5" width="10.7109375" style="432" bestFit="1" customWidth="1"/>
    <col min="6" max="6" width="13.85546875" style="432" customWidth="1"/>
    <col min="7" max="7" width="10.140625" style="432" bestFit="1" customWidth="1"/>
    <col min="8" max="8" width="13.85546875" style="432" customWidth="1"/>
    <col min="9" max="9" width="10.140625" bestFit="1" customWidth="1"/>
    <col min="10" max="10" width="13.85546875" customWidth="1"/>
  </cols>
  <sheetData>
    <row r="1" spans="1:10" ht="15.75" thickBot="1">
      <c r="A1" s="952" t="s">
        <v>174</v>
      </c>
      <c r="B1" s="953"/>
      <c r="C1" s="953"/>
      <c r="D1" s="953"/>
      <c r="E1" s="953"/>
      <c r="F1" s="953"/>
      <c r="G1" s="953"/>
      <c r="H1" s="953"/>
      <c r="I1" s="953"/>
      <c r="J1" s="954"/>
    </row>
    <row r="2" spans="1:10" s="432" customFormat="1" ht="15" customHeight="1">
      <c r="A2" s="959" t="s">
        <v>110</v>
      </c>
      <c r="B2" s="961" t="s">
        <v>111</v>
      </c>
      <c r="C2" s="961" t="s">
        <v>112</v>
      </c>
      <c r="D2" s="963" t="s">
        <v>120</v>
      </c>
      <c r="E2" s="957" t="s">
        <v>701</v>
      </c>
      <c r="F2" s="958"/>
      <c r="G2" s="957" t="s">
        <v>702</v>
      </c>
      <c r="H2" s="958"/>
      <c r="I2" s="932" t="s">
        <v>796</v>
      </c>
      <c r="J2" s="933"/>
    </row>
    <row r="3" spans="1:10" ht="46.5" thickBot="1">
      <c r="A3" s="960"/>
      <c r="B3" s="962"/>
      <c r="C3" s="962"/>
      <c r="D3" s="964"/>
      <c r="E3" s="460" t="s">
        <v>121</v>
      </c>
      <c r="F3" s="468" t="s">
        <v>704</v>
      </c>
      <c r="G3" s="460" t="s">
        <v>121</v>
      </c>
      <c r="H3" s="468" t="s">
        <v>704</v>
      </c>
      <c r="I3" s="478" t="s">
        <v>121</v>
      </c>
      <c r="J3" s="25" t="s">
        <v>704</v>
      </c>
    </row>
    <row r="4" spans="1:10">
      <c r="A4" s="70">
        <v>43852</v>
      </c>
      <c r="B4" s="71" t="s">
        <v>212</v>
      </c>
      <c r="C4" s="72">
        <v>517957.05</v>
      </c>
      <c r="D4" s="429">
        <f>C4</f>
        <v>517957.05</v>
      </c>
      <c r="E4" s="469">
        <v>519777.9</v>
      </c>
      <c r="F4" s="470">
        <f>IF(ISBLANK(E4),"----",E4-$D4)</f>
        <v>1820.8500000000349</v>
      </c>
      <c r="G4" s="469" t="s">
        <v>703</v>
      </c>
      <c r="H4" s="470" t="str">
        <f t="shared" ref="H4:H23" si="0">IF(OR(G4="Complete",ISBLANK(G4)),"----",G4-$D4)</f>
        <v>----</v>
      </c>
      <c r="I4" s="479" t="s">
        <v>703</v>
      </c>
      <c r="J4" s="73" t="str">
        <f t="shared" ref="J4:J23" si="1">IF(OR(I4="Complete",ISBLANK(I4)),"----",I4-$D4)</f>
        <v>----</v>
      </c>
    </row>
    <row r="5" spans="1:10">
      <c r="A5" s="88">
        <v>44306</v>
      </c>
      <c r="B5" s="101" t="s">
        <v>419</v>
      </c>
      <c r="C5" s="82">
        <v>1117034.3999999999</v>
      </c>
      <c r="D5" s="431">
        <f>C5</f>
        <v>1117034.3999999999</v>
      </c>
      <c r="E5" s="471"/>
      <c r="F5" s="472" t="s">
        <v>705</v>
      </c>
      <c r="G5" s="471"/>
      <c r="H5" s="472" t="str">
        <f t="shared" si="0"/>
        <v>----</v>
      </c>
      <c r="I5" s="484"/>
      <c r="J5" s="83" t="str">
        <f t="shared" si="1"/>
        <v>----</v>
      </c>
    </row>
    <row r="6" spans="1:10">
      <c r="A6" s="102">
        <v>45615</v>
      </c>
      <c r="B6" s="450" t="s">
        <v>780</v>
      </c>
      <c r="C6" s="370">
        <v>586206.17000000004</v>
      </c>
      <c r="D6" s="504">
        <f>C6</f>
        <v>586206.17000000004</v>
      </c>
      <c r="E6" s="473"/>
      <c r="F6" s="485" t="str">
        <f t="shared" ref="F6:F23" si="2">IF(ISBLANK(E6),"----",E6-$D6)</f>
        <v>----</v>
      </c>
      <c r="G6" s="473"/>
      <c r="H6" s="485" t="str">
        <f t="shared" si="0"/>
        <v>----</v>
      </c>
      <c r="I6" s="486"/>
      <c r="J6" s="115" t="str">
        <f t="shared" si="1"/>
        <v>----</v>
      </c>
    </row>
    <row r="7" spans="1:10">
      <c r="A7" s="102"/>
      <c r="B7" s="103"/>
      <c r="C7" s="370"/>
      <c r="D7" s="559"/>
      <c r="E7" s="473"/>
      <c r="F7" s="485" t="str">
        <f t="shared" si="2"/>
        <v>----</v>
      </c>
      <c r="G7" s="473"/>
      <c r="H7" s="485" t="str">
        <f t="shared" si="0"/>
        <v>----</v>
      </c>
      <c r="I7" s="486"/>
      <c r="J7" s="115" t="str">
        <f t="shared" si="1"/>
        <v>----</v>
      </c>
    </row>
    <row r="8" spans="1:10">
      <c r="A8" s="102"/>
      <c r="B8" s="103"/>
      <c r="C8" s="370"/>
      <c r="D8" s="559"/>
      <c r="E8" s="473"/>
      <c r="F8" s="485" t="str">
        <f t="shared" si="2"/>
        <v>----</v>
      </c>
      <c r="G8" s="473"/>
      <c r="H8" s="485" t="str">
        <f t="shared" si="0"/>
        <v>----</v>
      </c>
      <c r="I8" s="486"/>
      <c r="J8" s="115" t="str">
        <f t="shared" si="1"/>
        <v>----</v>
      </c>
    </row>
    <row r="9" spans="1:10">
      <c r="A9" s="102"/>
      <c r="B9" s="103"/>
      <c r="C9" s="370"/>
      <c r="D9" s="559"/>
      <c r="E9" s="473"/>
      <c r="F9" s="485" t="str">
        <f t="shared" si="2"/>
        <v>----</v>
      </c>
      <c r="G9" s="473"/>
      <c r="H9" s="485" t="str">
        <f t="shared" si="0"/>
        <v>----</v>
      </c>
      <c r="I9" s="486"/>
      <c r="J9" s="115" t="str">
        <f t="shared" si="1"/>
        <v>----</v>
      </c>
    </row>
    <row r="10" spans="1:10">
      <c r="A10" s="102"/>
      <c r="B10" s="103"/>
      <c r="C10" s="370"/>
      <c r="D10" s="559"/>
      <c r="E10" s="473"/>
      <c r="F10" s="485" t="str">
        <f t="shared" si="2"/>
        <v>----</v>
      </c>
      <c r="G10" s="473"/>
      <c r="H10" s="485" t="str">
        <f t="shared" si="0"/>
        <v>----</v>
      </c>
      <c r="I10" s="486"/>
      <c r="J10" s="115" t="str">
        <f t="shared" si="1"/>
        <v>----</v>
      </c>
    </row>
    <row r="11" spans="1:10">
      <c r="A11" s="102"/>
      <c r="B11" s="103"/>
      <c r="C11" s="370"/>
      <c r="D11" s="559"/>
      <c r="E11" s="473"/>
      <c r="F11" s="485" t="str">
        <f t="shared" si="2"/>
        <v>----</v>
      </c>
      <c r="G11" s="473"/>
      <c r="H11" s="485" t="str">
        <f t="shared" si="0"/>
        <v>----</v>
      </c>
      <c r="I11" s="486"/>
      <c r="J11" s="115" t="str">
        <f t="shared" si="1"/>
        <v>----</v>
      </c>
    </row>
    <row r="12" spans="1:10">
      <c r="A12" s="102"/>
      <c r="B12" s="103"/>
      <c r="C12" s="370"/>
      <c r="D12" s="559"/>
      <c r="E12" s="473"/>
      <c r="F12" s="485" t="str">
        <f t="shared" si="2"/>
        <v>----</v>
      </c>
      <c r="G12" s="473"/>
      <c r="H12" s="485" t="str">
        <f t="shared" si="0"/>
        <v>----</v>
      </c>
      <c r="I12" s="486"/>
      <c r="J12" s="115" t="str">
        <f t="shared" si="1"/>
        <v>----</v>
      </c>
    </row>
    <row r="13" spans="1:10">
      <c r="A13" s="102"/>
      <c r="B13" s="103"/>
      <c r="C13" s="370"/>
      <c r="D13" s="559"/>
      <c r="E13" s="473"/>
      <c r="F13" s="485" t="str">
        <f t="shared" si="2"/>
        <v>----</v>
      </c>
      <c r="G13" s="473"/>
      <c r="H13" s="485" t="str">
        <f t="shared" si="0"/>
        <v>----</v>
      </c>
      <c r="I13" s="486"/>
      <c r="J13" s="115" t="str">
        <f t="shared" si="1"/>
        <v>----</v>
      </c>
    </row>
    <row r="14" spans="1:10">
      <c r="A14" s="102"/>
      <c r="B14" s="103"/>
      <c r="C14" s="370"/>
      <c r="D14" s="559"/>
      <c r="E14" s="473"/>
      <c r="F14" s="485" t="str">
        <f t="shared" si="2"/>
        <v>----</v>
      </c>
      <c r="G14" s="473"/>
      <c r="H14" s="485" t="str">
        <f t="shared" si="0"/>
        <v>----</v>
      </c>
      <c r="I14" s="486"/>
      <c r="J14" s="115" t="str">
        <f t="shared" si="1"/>
        <v>----</v>
      </c>
    </row>
    <row r="15" spans="1:10">
      <c r="A15" s="102"/>
      <c r="B15" s="103"/>
      <c r="C15" s="370"/>
      <c r="D15" s="559"/>
      <c r="E15" s="473"/>
      <c r="F15" s="485" t="str">
        <f t="shared" si="2"/>
        <v>----</v>
      </c>
      <c r="G15" s="473"/>
      <c r="H15" s="485" t="str">
        <f t="shared" si="0"/>
        <v>----</v>
      </c>
      <c r="I15" s="486"/>
      <c r="J15" s="115" t="str">
        <f t="shared" si="1"/>
        <v>----</v>
      </c>
    </row>
    <row r="16" spans="1:10">
      <c r="A16" s="102"/>
      <c r="B16" s="103"/>
      <c r="C16" s="370"/>
      <c r="D16" s="559"/>
      <c r="E16" s="473"/>
      <c r="F16" s="485" t="str">
        <f t="shared" si="2"/>
        <v>----</v>
      </c>
      <c r="G16" s="473"/>
      <c r="H16" s="485" t="str">
        <f t="shared" si="0"/>
        <v>----</v>
      </c>
      <c r="I16" s="486"/>
      <c r="J16" s="115" t="str">
        <f t="shared" si="1"/>
        <v>----</v>
      </c>
    </row>
    <row r="17" spans="1:10">
      <c r="A17" s="102"/>
      <c r="B17" s="103"/>
      <c r="C17" s="370"/>
      <c r="D17" s="559"/>
      <c r="E17" s="473"/>
      <c r="F17" s="485" t="str">
        <f t="shared" si="2"/>
        <v>----</v>
      </c>
      <c r="G17" s="473"/>
      <c r="H17" s="485" t="str">
        <f t="shared" si="0"/>
        <v>----</v>
      </c>
      <c r="I17" s="486"/>
      <c r="J17" s="115" t="str">
        <f t="shared" si="1"/>
        <v>----</v>
      </c>
    </row>
    <row r="18" spans="1:10">
      <c r="A18" s="102"/>
      <c r="B18" s="103"/>
      <c r="C18" s="370"/>
      <c r="D18" s="559"/>
      <c r="E18" s="473"/>
      <c r="F18" s="485" t="str">
        <f t="shared" si="2"/>
        <v>----</v>
      </c>
      <c r="G18" s="473"/>
      <c r="H18" s="485" t="str">
        <f t="shared" si="0"/>
        <v>----</v>
      </c>
      <c r="I18" s="486"/>
      <c r="J18" s="115" t="str">
        <f t="shared" si="1"/>
        <v>----</v>
      </c>
    </row>
    <row r="19" spans="1:10">
      <c r="A19" s="102"/>
      <c r="B19" s="103"/>
      <c r="C19" s="370"/>
      <c r="D19" s="559"/>
      <c r="E19" s="473"/>
      <c r="F19" s="485" t="str">
        <f t="shared" si="2"/>
        <v>----</v>
      </c>
      <c r="G19" s="473"/>
      <c r="H19" s="485" t="str">
        <f t="shared" si="0"/>
        <v>----</v>
      </c>
      <c r="I19" s="486"/>
      <c r="J19" s="115" t="str">
        <f t="shared" si="1"/>
        <v>----</v>
      </c>
    </row>
    <row r="20" spans="1:10">
      <c r="A20" s="102"/>
      <c r="B20" s="103"/>
      <c r="C20" s="370"/>
      <c r="D20" s="559"/>
      <c r="E20" s="473"/>
      <c r="F20" s="485" t="str">
        <f t="shared" si="2"/>
        <v>----</v>
      </c>
      <c r="G20" s="473"/>
      <c r="H20" s="485" t="str">
        <f t="shared" si="0"/>
        <v>----</v>
      </c>
      <c r="I20" s="486"/>
      <c r="J20" s="115" t="str">
        <f t="shared" si="1"/>
        <v>----</v>
      </c>
    </row>
    <row r="21" spans="1:10">
      <c r="A21" s="102"/>
      <c r="B21" s="103"/>
      <c r="C21" s="370"/>
      <c r="D21" s="559"/>
      <c r="E21" s="473"/>
      <c r="F21" s="485" t="str">
        <f t="shared" si="2"/>
        <v>----</v>
      </c>
      <c r="G21" s="473"/>
      <c r="H21" s="485" t="str">
        <f t="shared" si="0"/>
        <v>----</v>
      </c>
      <c r="I21" s="486"/>
      <c r="J21" s="115" t="str">
        <f t="shared" si="1"/>
        <v>----</v>
      </c>
    </row>
    <row r="22" spans="1:10">
      <c r="A22" s="116"/>
      <c r="B22" s="117"/>
      <c r="C22" s="602"/>
      <c r="D22" s="603"/>
      <c r="E22" s="474"/>
      <c r="F22" s="487" t="str">
        <f t="shared" si="2"/>
        <v>----</v>
      </c>
      <c r="G22" s="474"/>
      <c r="H22" s="487" t="str">
        <f t="shared" si="0"/>
        <v>----</v>
      </c>
      <c r="I22" s="488"/>
      <c r="J22" s="119" t="str">
        <f t="shared" si="1"/>
        <v>----</v>
      </c>
    </row>
    <row r="23" spans="1:10" ht="15.75" thickBot="1">
      <c r="A23" s="74"/>
      <c r="B23" s="75"/>
      <c r="C23" s="373"/>
      <c r="D23" s="527"/>
      <c r="E23" s="475"/>
      <c r="F23" s="476" t="str">
        <f t="shared" si="2"/>
        <v>----</v>
      </c>
      <c r="G23" s="475"/>
      <c r="H23" s="476" t="str">
        <f t="shared" si="0"/>
        <v>----</v>
      </c>
      <c r="I23" s="481"/>
      <c r="J23" s="77" t="str">
        <f t="shared" si="1"/>
        <v>----</v>
      </c>
    </row>
    <row r="24" spans="1:10" ht="15.75" thickBot="1">
      <c r="A24" s="27"/>
      <c r="B24" s="27"/>
      <c r="C24" s="28"/>
      <c r="D24" s="28"/>
      <c r="E24" s="439"/>
      <c r="F24" s="441">
        <f>SUM(F4:F23)</f>
        <v>1820.8500000000349</v>
      </c>
      <c r="G24" s="439"/>
      <c r="H24" s="441">
        <f>SUM(H4:H23)</f>
        <v>0</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99888-AE44-4B37-B3DA-734EE82C57C5}">
  <dimension ref="A1:K23"/>
  <sheetViews>
    <sheetView workbookViewId="0">
      <selection activeCell="L11" sqref="L11"/>
    </sheetView>
  </sheetViews>
  <sheetFormatPr defaultRowHeight="15"/>
  <cols>
    <col min="2" max="2" width="22.85546875" bestFit="1" customWidth="1"/>
    <col min="3" max="3" width="12" bestFit="1" customWidth="1"/>
    <col min="4" max="4" width="12.5703125" customWidth="1"/>
    <col min="5" max="5" width="10.7109375" style="432" bestFit="1" customWidth="1"/>
    <col min="6" max="6" width="13" style="432" customWidth="1"/>
    <col min="7" max="7" width="10.140625" style="432" bestFit="1" customWidth="1"/>
    <col min="8" max="8" width="13" style="432" customWidth="1"/>
    <col min="9" max="9" width="10.140625" bestFit="1" customWidth="1"/>
    <col min="10" max="10" width="13" customWidth="1"/>
  </cols>
  <sheetData>
    <row r="1" spans="1:11" ht="15.75" thickBot="1">
      <c r="A1" s="952" t="s">
        <v>150</v>
      </c>
      <c r="B1" s="953"/>
      <c r="C1" s="953"/>
      <c r="D1" s="953"/>
      <c r="E1" s="953"/>
      <c r="F1" s="953"/>
      <c r="G1" s="953"/>
      <c r="H1" s="953"/>
      <c r="I1" s="953"/>
      <c r="J1" s="954"/>
    </row>
    <row r="2" spans="1:11" s="432" customFormat="1" ht="15" customHeight="1">
      <c r="A2" s="959" t="s">
        <v>110</v>
      </c>
      <c r="B2" s="961" t="s">
        <v>111</v>
      </c>
      <c r="C2" s="961" t="s">
        <v>112</v>
      </c>
      <c r="D2" s="963" t="s">
        <v>120</v>
      </c>
      <c r="E2" s="957" t="s">
        <v>701</v>
      </c>
      <c r="F2" s="958"/>
      <c r="G2" s="957" t="s">
        <v>702</v>
      </c>
      <c r="H2" s="958"/>
      <c r="I2" s="932" t="s">
        <v>796</v>
      </c>
      <c r="J2" s="933"/>
    </row>
    <row r="3" spans="1:11" ht="46.5" thickBot="1">
      <c r="A3" s="960"/>
      <c r="B3" s="962"/>
      <c r="C3" s="962"/>
      <c r="D3" s="964"/>
      <c r="E3" s="460" t="s">
        <v>121</v>
      </c>
      <c r="F3" s="468" t="s">
        <v>704</v>
      </c>
      <c r="G3" s="460" t="s">
        <v>121</v>
      </c>
      <c r="H3" s="468" t="s">
        <v>704</v>
      </c>
      <c r="I3" s="478" t="s">
        <v>121</v>
      </c>
      <c r="J3" s="25" t="s">
        <v>704</v>
      </c>
    </row>
    <row r="4" spans="1:11">
      <c r="A4" s="70">
        <v>43816</v>
      </c>
      <c r="B4" s="71" t="s">
        <v>171</v>
      </c>
      <c r="C4" s="72">
        <v>420135.7</v>
      </c>
      <c r="D4" s="429">
        <f>C4</f>
        <v>420135.7</v>
      </c>
      <c r="E4" s="469">
        <v>421970.31</v>
      </c>
      <c r="F4" s="470">
        <f>IF(ISBLANK(E4),"----",E4-$D4)</f>
        <v>1834.609999999986</v>
      </c>
      <c r="G4" s="469" t="s">
        <v>703</v>
      </c>
      <c r="H4" s="470" t="str">
        <f t="shared" ref="H4:H22" si="0">IF(OR(G4="Complete",ISBLANK(G4)),"----",G4-$D4)</f>
        <v>----</v>
      </c>
      <c r="I4" s="479" t="s">
        <v>703</v>
      </c>
      <c r="J4" s="73" t="str">
        <f t="shared" ref="J4:J22" si="1">IF(OR(I4="Complete",ISBLANK(I4)),"----",I4-$D4)</f>
        <v>----</v>
      </c>
    </row>
    <row r="5" spans="1:11">
      <c r="A5" s="88">
        <v>44216</v>
      </c>
      <c r="B5" s="101" t="s">
        <v>369</v>
      </c>
      <c r="C5" s="82">
        <v>726545.05</v>
      </c>
      <c r="D5" s="431">
        <v>300509.05</v>
      </c>
      <c r="E5" s="471">
        <v>293172.01</v>
      </c>
      <c r="F5" s="487">
        <f t="shared" ref="F5:F22" si="2">IF(ISBLANK(E5),"----",E5-$D5)</f>
        <v>-7337.039999999979</v>
      </c>
      <c r="G5" s="471" t="s">
        <v>703</v>
      </c>
      <c r="H5" s="487" t="str">
        <f t="shared" si="0"/>
        <v>----</v>
      </c>
      <c r="I5" s="484" t="s">
        <v>703</v>
      </c>
      <c r="J5" s="119" t="str">
        <f t="shared" si="1"/>
        <v>----</v>
      </c>
    </row>
    <row r="6" spans="1:11">
      <c r="A6" s="207">
        <v>44271</v>
      </c>
      <c r="B6" s="208" t="s">
        <v>404</v>
      </c>
      <c r="C6" s="209">
        <v>1049203.5</v>
      </c>
      <c r="D6" s="497">
        <v>918115.5</v>
      </c>
      <c r="E6" s="501"/>
      <c r="F6" s="492" t="str">
        <f t="shared" si="2"/>
        <v>----</v>
      </c>
      <c r="G6" s="501"/>
      <c r="H6" s="492" t="str">
        <f t="shared" si="0"/>
        <v>----</v>
      </c>
      <c r="I6" s="499"/>
      <c r="J6" s="197" t="str">
        <f t="shared" si="1"/>
        <v>----</v>
      </c>
      <c r="K6" t="s">
        <v>415</v>
      </c>
    </row>
    <row r="7" spans="1:11">
      <c r="A7" s="219">
        <v>44397</v>
      </c>
      <c r="B7" s="220" t="s">
        <v>434</v>
      </c>
      <c r="C7" s="221">
        <f>164988.83/2</f>
        <v>82494.414999999994</v>
      </c>
      <c r="D7" s="498">
        <f>C7</f>
        <v>82494.414999999994</v>
      </c>
      <c r="E7" s="502">
        <v>75833.789999999994</v>
      </c>
      <c r="F7" s="503">
        <f t="shared" si="2"/>
        <v>-6660.625</v>
      </c>
      <c r="G7" s="502" t="s">
        <v>703</v>
      </c>
      <c r="H7" s="503" t="str">
        <f t="shared" si="0"/>
        <v>----</v>
      </c>
      <c r="I7" s="500" t="s">
        <v>703</v>
      </c>
      <c r="J7" s="222" t="str">
        <f t="shared" si="1"/>
        <v>----</v>
      </c>
      <c r="K7" t="s">
        <v>435</v>
      </c>
    </row>
    <row r="8" spans="1:11">
      <c r="A8" s="102">
        <v>44397</v>
      </c>
      <c r="B8" s="103" t="s">
        <v>404</v>
      </c>
      <c r="C8" s="87">
        <v>594321.75</v>
      </c>
      <c r="D8" s="466">
        <v>463233.75</v>
      </c>
      <c r="E8" s="473"/>
      <c r="F8" s="487" t="str">
        <f t="shared" si="2"/>
        <v>----</v>
      </c>
      <c r="G8" s="473"/>
      <c r="H8" s="487" t="str">
        <f t="shared" si="0"/>
        <v>----</v>
      </c>
      <c r="I8" s="486"/>
      <c r="J8" s="119" t="str">
        <f t="shared" si="1"/>
        <v>----</v>
      </c>
      <c r="K8" t="s">
        <v>437</v>
      </c>
    </row>
    <row r="9" spans="1:11">
      <c r="A9" s="102">
        <v>44551</v>
      </c>
      <c r="B9" s="256" t="s">
        <v>475</v>
      </c>
      <c r="C9" s="87">
        <v>618842.94999999995</v>
      </c>
      <c r="D9" s="466">
        <f>C9</f>
        <v>618842.94999999995</v>
      </c>
      <c r="E9" s="473">
        <v>625786.5</v>
      </c>
      <c r="F9" s="487">
        <f t="shared" si="2"/>
        <v>6943.5500000000466</v>
      </c>
      <c r="G9" s="473" t="s">
        <v>703</v>
      </c>
      <c r="H9" s="487" t="str">
        <f t="shared" si="0"/>
        <v>----</v>
      </c>
      <c r="I9" s="486" t="s">
        <v>703</v>
      </c>
      <c r="J9" s="119" t="str">
        <f t="shared" si="1"/>
        <v>----</v>
      </c>
    </row>
    <row r="10" spans="1:11">
      <c r="A10" s="102">
        <v>44551</v>
      </c>
      <c r="B10" s="256" t="s">
        <v>476</v>
      </c>
      <c r="C10" s="87">
        <v>453760.95</v>
      </c>
      <c r="D10" s="466">
        <f>C10</f>
        <v>453760.95</v>
      </c>
      <c r="E10" s="473">
        <v>451941.38</v>
      </c>
      <c r="F10" s="487">
        <f t="shared" si="2"/>
        <v>-1819.570000000007</v>
      </c>
      <c r="G10" s="473" t="s">
        <v>703</v>
      </c>
      <c r="H10" s="487" t="str">
        <f t="shared" si="0"/>
        <v>----</v>
      </c>
      <c r="I10" s="486" t="s">
        <v>703</v>
      </c>
      <c r="J10" s="119" t="str">
        <f t="shared" si="1"/>
        <v>----</v>
      </c>
    </row>
    <row r="11" spans="1:11">
      <c r="A11" s="102">
        <v>45279</v>
      </c>
      <c r="B11" s="103" t="s">
        <v>688</v>
      </c>
      <c r="C11" s="87">
        <v>1217493.2</v>
      </c>
      <c r="D11" s="466">
        <f>C11</f>
        <v>1217493.2</v>
      </c>
      <c r="E11" s="473"/>
      <c r="F11" s="487" t="str">
        <f t="shared" si="2"/>
        <v>----</v>
      </c>
      <c r="G11" s="473"/>
      <c r="H11" s="487" t="str">
        <f t="shared" si="0"/>
        <v>----</v>
      </c>
      <c r="I11" s="486"/>
      <c r="J11" s="119" t="str">
        <f t="shared" si="1"/>
        <v>----</v>
      </c>
    </row>
    <row r="12" spans="1:11">
      <c r="A12" s="102">
        <v>45279</v>
      </c>
      <c r="B12" s="103" t="s">
        <v>689</v>
      </c>
      <c r="C12" s="87">
        <v>614061.65</v>
      </c>
      <c r="D12" s="466">
        <f>C12</f>
        <v>614061.65</v>
      </c>
      <c r="E12" s="473"/>
      <c r="F12" s="487" t="str">
        <f t="shared" si="2"/>
        <v>----</v>
      </c>
      <c r="G12" s="473"/>
      <c r="H12" s="487" t="str">
        <f t="shared" si="0"/>
        <v>----</v>
      </c>
      <c r="I12" s="486"/>
      <c r="J12" s="119" t="str">
        <f t="shared" si="1"/>
        <v>----</v>
      </c>
    </row>
    <row r="13" spans="1:11">
      <c r="A13" s="102"/>
      <c r="B13" s="103"/>
      <c r="C13" s="87"/>
      <c r="D13" s="466"/>
      <c r="E13" s="473"/>
      <c r="F13" s="487" t="str">
        <f t="shared" si="2"/>
        <v>----</v>
      </c>
      <c r="G13" s="473"/>
      <c r="H13" s="487" t="str">
        <f t="shared" si="0"/>
        <v>----</v>
      </c>
      <c r="I13" s="486"/>
      <c r="J13" s="119" t="str">
        <f t="shared" si="1"/>
        <v>----</v>
      </c>
    </row>
    <row r="14" spans="1:11">
      <c r="A14" s="102"/>
      <c r="B14" s="103"/>
      <c r="C14" s="87"/>
      <c r="D14" s="466"/>
      <c r="E14" s="473"/>
      <c r="F14" s="487" t="str">
        <f t="shared" si="2"/>
        <v>----</v>
      </c>
      <c r="G14" s="473"/>
      <c r="H14" s="487" t="str">
        <f t="shared" si="0"/>
        <v>----</v>
      </c>
      <c r="I14" s="486"/>
      <c r="J14" s="119" t="str">
        <f t="shared" si="1"/>
        <v>----</v>
      </c>
    </row>
    <row r="15" spans="1:11">
      <c r="A15" s="102"/>
      <c r="B15" s="103"/>
      <c r="C15" s="87"/>
      <c r="D15" s="466"/>
      <c r="E15" s="473"/>
      <c r="F15" s="487" t="str">
        <f t="shared" si="2"/>
        <v>----</v>
      </c>
      <c r="G15" s="473"/>
      <c r="H15" s="487" t="str">
        <f t="shared" si="0"/>
        <v>----</v>
      </c>
      <c r="I15" s="486"/>
      <c r="J15" s="119" t="str">
        <f t="shared" si="1"/>
        <v>----</v>
      </c>
    </row>
    <row r="16" spans="1:11">
      <c r="A16" s="102"/>
      <c r="B16" s="103"/>
      <c r="C16" s="87"/>
      <c r="D16" s="466"/>
      <c r="E16" s="473"/>
      <c r="F16" s="487" t="str">
        <f t="shared" si="2"/>
        <v>----</v>
      </c>
      <c r="G16" s="473"/>
      <c r="H16" s="487" t="str">
        <f t="shared" si="0"/>
        <v>----</v>
      </c>
      <c r="I16" s="486"/>
      <c r="J16" s="119" t="str">
        <f t="shared" si="1"/>
        <v>----</v>
      </c>
    </row>
    <row r="17" spans="1:10">
      <c r="A17" s="102"/>
      <c r="B17" s="103"/>
      <c r="C17" s="87"/>
      <c r="D17" s="466"/>
      <c r="E17" s="473"/>
      <c r="F17" s="487" t="str">
        <f t="shared" si="2"/>
        <v>----</v>
      </c>
      <c r="G17" s="473"/>
      <c r="H17" s="487" t="str">
        <f t="shared" si="0"/>
        <v>----</v>
      </c>
      <c r="I17" s="486"/>
      <c r="J17" s="119" t="str">
        <f t="shared" si="1"/>
        <v>----</v>
      </c>
    </row>
    <row r="18" spans="1:10">
      <c r="A18" s="102"/>
      <c r="B18" s="103"/>
      <c r="C18" s="87"/>
      <c r="D18" s="466"/>
      <c r="E18" s="473"/>
      <c r="F18" s="487" t="str">
        <f t="shared" si="2"/>
        <v>----</v>
      </c>
      <c r="G18" s="473"/>
      <c r="H18" s="487" t="str">
        <f t="shared" si="0"/>
        <v>----</v>
      </c>
      <c r="I18" s="486"/>
      <c r="J18" s="119" t="str">
        <f t="shared" si="1"/>
        <v>----</v>
      </c>
    </row>
    <row r="19" spans="1:10">
      <c r="A19" s="102"/>
      <c r="B19" s="103"/>
      <c r="C19" s="87"/>
      <c r="D19" s="466"/>
      <c r="E19" s="473"/>
      <c r="F19" s="487" t="str">
        <f t="shared" si="2"/>
        <v>----</v>
      </c>
      <c r="G19" s="473"/>
      <c r="H19" s="487" t="str">
        <f t="shared" si="0"/>
        <v>----</v>
      </c>
      <c r="I19" s="486"/>
      <c r="J19" s="119" t="str">
        <f t="shared" si="1"/>
        <v>----</v>
      </c>
    </row>
    <row r="20" spans="1:10">
      <c r="A20" s="102"/>
      <c r="B20" s="103"/>
      <c r="C20" s="87"/>
      <c r="D20" s="466"/>
      <c r="E20" s="473"/>
      <c r="F20" s="487" t="str">
        <f t="shared" si="2"/>
        <v>----</v>
      </c>
      <c r="G20" s="473"/>
      <c r="H20" s="487" t="str">
        <f t="shared" si="0"/>
        <v>----</v>
      </c>
      <c r="I20" s="486"/>
      <c r="J20" s="119" t="str">
        <f t="shared" si="1"/>
        <v>----</v>
      </c>
    </row>
    <row r="21" spans="1:10">
      <c r="A21" s="116"/>
      <c r="B21" s="117"/>
      <c r="C21" s="118"/>
      <c r="D21" s="467"/>
      <c r="E21" s="474"/>
      <c r="F21" s="487" t="str">
        <f t="shared" si="2"/>
        <v>----</v>
      </c>
      <c r="G21" s="474"/>
      <c r="H21" s="487" t="str">
        <f t="shared" si="0"/>
        <v>----</v>
      </c>
      <c r="I21" s="488"/>
      <c r="J21" s="119" t="str">
        <f t="shared" si="1"/>
        <v>----</v>
      </c>
    </row>
    <row r="22" spans="1:10" ht="15.75" thickBot="1">
      <c r="A22" s="74"/>
      <c r="B22" s="75"/>
      <c r="C22" s="76"/>
      <c r="D22" s="430"/>
      <c r="E22" s="475"/>
      <c r="F22" s="476" t="str">
        <f t="shared" si="2"/>
        <v>----</v>
      </c>
      <c r="G22" s="475"/>
      <c r="H22" s="476" t="str">
        <f t="shared" si="0"/>
        <v>----</v>
      </c>
      <c r="I22" s="481"/>
      <c r="J22" s="77" t="str">
        <f t="shared" si="1"/>
        <v>----</v>
      </c>
    </row>
    <row r="23" spans="1:10" ht="15.75" thickBot="1">
      <c r="A23" s="27"/>
      <c r="B23" s="27"/>
      <c r="C23" s="28"/>
      <c r="D23" s="28"/>
      <c r="E23" s="439"/>
      <c r="F23" s="441">
        <f>SUM(F4:F22)</f>
        <v>-7039.0749999999534</v>
      </c>
      <c r="G23" s="439"/>
      <c r="H23" s="441">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6F79F-D357-44DF-8694-615468D0429F}">
  <dimension ref="A1:J19"/>
  <sheetViews>
    <sheetView workbookViewId="0">
      <selection activeCell="L17" sqref="L17"/>
    </sheetView>
  </sheetViews>
  <sheetFormatPr defaultRowHeight="15"/>
  <cols>
    <col min="2" max="2" width="18" bestFit="1" customWidth="1"/>
    <col min="3" max="3" width="10.7109375" bestFit="1" customWidth="1"/>
    <col min="4" max="4" width="12.140625" customWidth="1"/>
    <col min="5" max="5" width="9.140625" style="432"/>
    <col min="6" max="6" width="11.5703125" style="432" customWidth="1"/>
    <col min="7" max="7" width="9.140625" style="432"/>
    <col min="8" max="8" width="11.5703125" style="432" customWidth="1"/>
    <col min="10" max="10" width="11.5703125" customWidth="1"/>
  </cols>
  <sheetData>
    <row r="1" spans="1:10" ht="15.75" thickBot="1">
      <c r="A1" s="952" t="s">
        <v>135</v>
      </c>
      <c r="B1" s="953"/>
      <c r="C1" s="953"/>
      <c r="D1" s="953"/>
      <c r="E1" s="953"/>
      <c r="F1" s="953"/>
      <c r="G1" s="953"/>
      <c r="H1" s="953"/>
      <c r="I1" s="953"/>
      <c r="J1" s="954"/>
    </row>
    <row r="2" spans="1:10" s="432" customFormat="1" ht="15" customHeight="1">
      <c r="A2" s="959" t="s">
        <v>110</v>
      </c>
      <c r="B2" s="961" t="s">
        <v>111</v>
      </c>
      <c r="C2" s="961" t="s">
        <v>112</v>
      </c>
      <c r="D2" s="963" t="s">
        <v>120</v>
      </c>
      <c r="E2" s="957" t="s">
        <v>701</v>
      </c>
      <c r="F2" s="958"/>
      <c r="G2" s="957" t="s">
        <v>702</v>
      </c>
      <c r="H2" s="958"/>
      <c r="I2" s="932" t="s">
        <v>796</v>
      </c>
      <c r="J2" s="933"/>
    </row>
    <row r="3" spans="1:10" ht="57.75" thickBot="1">
      <c r="A3" s="960"/>
      <c r="B3" s="962"/>
      <c r="C3" s="962"/>
      <c r="D3" s="964"/>
      <c r="E3" s="460" t="s">
        <v>121</v>
      </c>
      <c r="F3" s="468" t="s">
        <v>704</v>
      </c>
      <c r="G3" s="460" t="s">
        <v>121</v>
      </c>
      <c r="H3" s="468" t="s">
        <v>704</v>
      </c>
      <c r="I3" s="478" t="s">
        <v>121</v>
      </c>
      <c r="J3" s="25" t="s">
        <v>704</v>
      </c>
    </row>
    <row r="4" spans="1:10">
      <c r="A4" s="70">
        <v>43788</v>
      </c>
      <c r="B4" s="71" t="s">
        <v>149</v>
      </c>
      <c r="C4" s="781">
        <v>152983.35</v>
      </c>
      <c r="D4" s="787">
        <v>122386.68</v>
      </c>
      <c r="E4" s="794"/>
      <c r="F4" s="803" t="str">
        <f>IF(ISBLANK(E4),"----",E4-$D4)</f>
        <v>----</v>
      </c>
      <c r="G4" s="794"/>
      <c r="H4" s="803" t="str">
        <f t="shared" ref="H4:H17" si="0">IF(OR(G4="Complete",ISBLANK(G4)),"----",G4-$D4)</f>
        <v>----</v>
      </c>
      <c r="I4" s="791"/>
      <c r="J4" s="804" t="str">
        <f t="shared" ref="J4:J17" si="1">IF(OR(I4="Complete",ISBLANK(I4)),"----",I4-$D4)</f>
        <v>----</v>
      </c>
    </row>
    <row r="5" spans="1:10" s="432" customFormat="1">
      <c r="A5" s="447">
        <v>45679</v>
      </c>
      <c r="B5" s="697" t="s">
        <v>828</v>
      </c>
      <c r="C5" s="784">
        <v>609788.25</v>
      </c>
      <c r="D5" s="788">
        <f>C5</f>
        <v>609788.25</v>
      </c>
      <c r="E5" s="795"/>
      <c r="F5" s="807" t="str">
        <f t="shared" ref="F5:F15" si="2">IF(ISBLANK(E5),"----",E5-$D5)</f>
        <v>----</v>
      </c>
      <c r="G5" s="795"/>
      <c r="H5" s="807" t="str">
        <f t="shared" si="0"/>
        <v>----</v>
      </c>
      <c r="I5" s="792"/>
      <c r="J5" s="808" t="str">
        <f t="shared" si="1"/>
        <v>----</v>
      </c>
    </row>
    <row r="6" spans="1:10" s="432" customFormat="1">
      <c r="A6" s="449"/>
      <c r="B6" s="450"/>
      <c r="C6" s="770"/>
      <c r="D6" s="729"/>
      <c r="E6" s="739"/>
      <c r="F6" s="771" t="str">
        <f t="shared" si="2"/>
        <v>----</v>
      </c>
      <c r="G6" s="739"/>
      <c r="H6" s="771" t="str">
        <f t="shared" si="0"/>
        <v>----</v>
      </c>
      <c r="I6" s="734"/>
      <c r="J6" s="772" t="str">
        <f t="shared" si="1"/>
        <v>----</v>
      </c>
    </row>
    <row r="7" spans="1:10" s="432" customFormat="1">
      <c r="A7" s="449"/>
      <c r="B7" s="450"/>
      <c r="C7" s="770"/>
      <c r="D7" s="729"/>
      <c r="E7" s="739"/>
      <c r="F7" s="771" t="str">
        <f t="shared" si="2"/>
        <v>----</v>
      </c>
      <c r="G7" s="739"/>
      <c r="H7" s="771" t="str">
        <f t="shared" si="0"/>
        <v>----</v>
      </c>
      <c r="I7" s="734"/>
      <c r="J7" s="772" t="str">
        <f t="shared" si="1"/>
        <v>----</v>
      </c>
    </row>
    <row r="8" spans="1:10" s="432" customFormat="1">
      <c r="A8" s="449"/>
      <c r="B8" s="450"/>
      <c r="C8" s="770"/>
      <c r="D8" s="729"/>
      <c r="E8" s="739"/>
      <c r="F8" s="771" t="str">
        <f t="shared" si="2"/>
        <v>----</v>
      </c>
      <c r="G8" s="739"/>
      <c r="H8" s="771" t="str">
        <f t="shared" si="0"/>
        <v>----</v>
      </c>
      <c r="I8" s="734"/>
      <c r="J8" s="772" t="str">
        <f t="shared" si="1"/>
        <v>----</v>
      </c>
    </row>
    <row r="9" spans="1:10" s="432" customFormat="1">
      <c r="A9" s="449"/>
      <c r="B9" s="450"/>
      <c r="C9" s="770"/>
      <c r="D9" s="729"/>
      <c r="E9" s="739"/>
      <c r="F9" s="771" t="str">
        <f t="shared" si="2"/>
        <v>----</v>
      </c>
      <c r="G9" s="739"/>
      <c r="H9" s="771" t="str">
        <f t="shared" si="0"/>
        <v>----</v>
      </c>
      <c r="I9" s="734"/>
      <c r="J9" s="772" t="str">
        <f t="shared" si="1"/>
        <v>----</v>
      </c>
    </row>
    <row r="10" spans="1:10" s="432" customFormat="1">
      <c r="A10" s="449"/>
      <c r="B10" s="450"/>
      <c r="C10" s="770"/>
      <c r="D10" s="729"/>
      <c r="E10" s="739"/>
      <c r="F10" s="771" t="str">
        <f t="shared" si="2"/>
        <v>----</v>
      </c>
      <c r="G10" s="739"/>
      <c r="H10" s="771" t="str">
        <f t="shared" si="0"/>
        <v>----</v>
      </c>
      <c r="I10" s="734"/>
      <c r="J10" s="772" t="str">
        <f t="shared" si="1"/>
        <v>----</v>
      </c>
    </row>
    <row r="11" spans="1:10" s="432" customFormat="1">
      <c r="A11" s="449"/>
      <c r="B11" s="450"/>
      <c r="C11" s="770"/>
      <c r="D11" s="729"/>
      <c r="E11" s="739"/>
      <c r="F11" s="771" t="str">
        <f t="shared" si="2"/>
        <v>----</v>
      </c>
      <c r="G11" s="739"/>
      <c r="H11" s="771" t="str">
        <f t="shared" si="0"/>
        <v>----</v>
      </c>
      <c r="I11" s="734"/>
      <c r="J11" s="772" t="str">
        <f t="shared" si="1"/>
        <v>----</v>
      </c>
    </row>
    <row r="12" spans="1:10" s="432" customFormat="1">
      <c r="A12" s="449"/>
      <c r="B12" s="450"/>
      <c r="C12" s="770"/>
      <c r="D12" s="729"/>
      <c r="E12" s="739"/>
      <c r="F12" s="771" t="str">
        <f t="shared" si="2"/>
        <v>----</v>
      </c>
      <c r="G12" s="739"/>
      <c r="H12" s="771" t="str">
        <f t="shared" si="0"/>
        <v>----</v>
      </c>
      <c r="I12" s="734"/>
      <c r="J12" s="772" t="str">
        <f t="shared" si="1"/>
        <v>----</v>
      </c>
    </row>
    <row r="13" spans="1:10" s="432" customFormat="1">
      <c r="A13" s="449"/>
      <c r="B13" s="450"/>
      <c r="C13" s="770"/>
      <c r="D13" s="729"/>
      <c r="E13" s="739"/>
      <c r="F13" s="771" t="str">
        <f t="shared" si="2"/>
        <v>----</v>
      </c>
      <c r="G13" s="739"/>
      <c r="H13" s="771" t="str">
        <f t="shared" si="0"/>
        <v>----</v>
      </c>
      <c r="I13" s="734"/>
      <c r="J13" s="772" t="str">
        <f t="shared" si="1"/>
        <v>----</v>
      </c>
    </row>
    <row r="14" spans="1:10" s="432" customFormat="1">
      <c r="A14" s="449"/>
      <c r="B14" s="450"/>
      <c r="C14" s="770"/>
      <c r="D14" s="729"/>
      <c r="E14" s="739"/>
      <c r="F14" s="771" t="str">
        <f t="shared" si="2"/>
        <v>----</v>
      </c>
      <c r="G14" s="739"/>
      <c r="H14" s="771" t="str">
        <f t="shared" si="0"/>
        <v>----</v>
      </c>
      <c r="I14" s="734"/>
      <c r="J14" s="772" t="str">
        <f t="shared" si="1"/>
        <v>----</v>
      </c>
    </row>
    <row r="15" spans="1:10" s="432" customFormat="1">
      <c r="A15" s="449"/>
      <c r="B15" s="450"/>
      <c r="C15" s="770"/>
      <c r="D15" s="729"/>
      <c r="E15" s="739"/>
      <c r="F15" s="771" t="str">
        <f t="shared" si="2"/>
        <v>----</v>
      </c>
      <c r="G15" s="739"/>
      <c r="H15" s="771" t="str">
        <f t="shared" si="0"/>
        <v>----</v>
      </c>
      <c r="I15" s="734"/>
      <c r="J15" s="772" t="str">
        <f t="shared" si="1"/>
        <v>----</v>
      </c>
    </row>
    <row r="16" spans="1:10">
      <c r="A16" s="452"/>
      <c r="B16" s="453"/>
      <c r="C16" s="773"/>
      <c r="D16" s="789"/>
      <c r="E16" s="740"/>
      <c r="F16" s="774" t="str">
        <f t="shared" ref="F16:F17" si="3">IF(ISBLANK(E16),"----",E16-$D16)</f>
        <v>----</v>
      </c>
      <c r="G16" s="740"/>
      <c r="H16" s="774" t="str">
        <f t="shared" si="0"/>
        <v>----</v>
      </c>
      <c r="I16" s="735"/>
      <c r="J16" s="775" t="str">
        <f t="shared" si="1"/>
        <v>----</v>
      </c>
    </row>
    <row r="17" spans="1:10" ht="15.75" thickBot="1">
      <c r="A17" s="74"/>
      <c r="B17" s="75"/>
      <c r="C17" s="783"/>
      <c r="D17" s="790"/>
      <c r="E17" s="796"/>
      <c r="F17" s="801" t="str">
        <f t="shared" si="3"/>
        <v>----</v>
      </c>
      <c r="G17" s="796"/>
      <c r="H17" s="801" t="str">
        <f t="shared" si="0"/>
        <v>----</v>
      </c>
      <c r="I17" s="793"/>
      <c r="J17" s="802" t="str">
        <f t="shared" si="1"/>
        <v>----</v>
      </c>
    </row>
    <row r="18" spans="1:10" ht="15.75" thickBot="1">
      <c r="A18" s="27"/>
      <c r="B18" s="27"/>
      <c r="C18" s="814"/>
      <c r="D18" s="814"/>
      <c r="E18" s="814"/>
      <c r="F18" s="815">
        <f>SUM(F4:F17)</f>
        <v>0</v>
      </c>
      <c r="G18" s="814"/>
      <c r="H18" s="815">
        <f>SUM(H4:H17)</f>
        <v>0</v>
      </c>
      <c r="I18" s="814"/>
      <c r="J18" s="815">
        <f>SUM(J4:J17)</f>
        <v>0</v>
      </c>
    </row>
    <row r="19" spans="1:10">
      <c r="A19" s="17"/>
      <c r="B19" s="17"/>
      <c r="C19" s="435"/>
      <c r="D19" s="435"/>
      <c r="E19" s="435"/>
      <c r="F19" s="435"/>
      <c r="G19" s="435"/>
      <c r="H19" s="435"/>
      <c r="I19" s="435"/>
      <c r="J19" s="435"/>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3ADE-E922-48C7-8834-0D803AE97252}">
  <dimension ref="A1:J20"/>
  <sheetViews>
    <sheetView workbookViewId="0">
      <selection activeCell="L19" sqref="L19"/>
    </sheetView>
  </sheetViews>
  <sheetFormatPr defaultRowHeight="15"/>
  <cols>
    <col min="2" max="2" width="21.7109375" bestFit="1" customWidth="1"/>
    <col min="3" max="3" width="12" bestFit="1" customWidth="1"/>
    <col min="4" max="4" width="10.7109375" bestFit="1" customWidth="1"/>
    <col min="5" max="8" width="9.140625" style="432"/>
  </cols>
  <sheetData>
    <row r="1" spans="1:10" ht="15.75" thickBot="1">
      <c r="A1" s="952" t="s">
        <v>249</v>
      </c>
      <c r="B1" s="953"/>
      <c r="C1" s="953"/>
      <c r="D1" s="953"/>
      <c r="E1" s="953"/>
      <c r="F1" s="953"/>
      <c r="G1" s="953"/>
      <c r="H1" s="953"/>
      <c r="I1" s="953"/>
      <c r="J1" s="954"/>
    </row>
    <row r="2" spans="1:10" s="432" customFormat="1" ht="15" customHeight="1">
      <c r="A2" s="959" t="s">
        <v>110</v>
      </c>
      <c r="B2" s="961" t="s">
        <v>111</v>
      </c>
      <c r="C2" s="961" t="s">
        <v>112</v>
      </c>
      <c r="D2" s="963" t="s">
        <v>120</v>
      </c>
      <c r="E2" s="957" t="s">
        <v>701</v>
      </c>
      <c r="F2" s="958"/>
      <c r="G2" s="957" t="s">
        <v>702</v>
      </c>
      <c r="H2" s="958"/>
      <c r="I2" s="932" t="s">
        <v>796</v>
      </c>
      <c r="J2" s="933"/>
    </row>
    <row r="3" spans="1:10" ht="69" thickBot="1">
      <c r="A3" s="960"/>
      <c r="B3" s="962"/>
      <c r="C3" s="962"/>
      <c r="D3" s="964"/>
      <c r="E3" s="460" t="s">
        <v>121</v>
      </c>
      <c r="F3" s="468" t="s">
        <v>704</v>
      </c>
      <c r="G3" s="460" t="s">
        <v>121</v>
      </c>
      <c r="H3" s="468" t="s">
        <v>704</v>
      </c>
      <c r="I3" s="478" t="s">
        <v>121</v>
      </c>
      <c r="J3" s="25" t="s">
        <v>704</v>
      </c>
    </row>
    <row r="4" spans="1:10">
      <c r="A4" s="70">
        <v>44789</v>
      </c>
      <c r="B4" s="71" t="s">
        <v>551</v>
      </c>
      <c r="C4" s="72">
        <v>3233933.45</v>
      </c>
      <c r="D4" s="429">
        <v>799933.45</v>
      </c>
      <c r="E4" s="469"/>
      <c r="F4" s="470" t="str">
        <f>IF(ISBLANK(E4),"----",E4-$D4)</f>
        <v>----</v>
      </c>
      <c r="G4" s="469"/>
      <c r="H4" s="470" t="str">
        <f t="shared" ref="H4:H19" si="0">IF(OR(G4="Complete",ISBLANK(G4)),"----",G4-$D4)</f>
        <v>----</v>
      </c>
      <c r="I4" s="479"/>
      <c r="J4" s="73" t="str">
        <f t="shared" ref="J4:J19" si="1">IF(OR(I4="Complete",ISBLANK(I4)),"----",I4-$D4)</f>
        <v>----</v>
      </c>
    </row>
    <row r="5" spans="1:10">
      <c r="A5" s="88">
        <v>44880</v>
      </c>
      <c r="B5" s="101" t="s">
        <v>585</v>
      </c>
      <c r="C5" s="82">
        <v>919508.1</v>
      </c>
      <c r="D5" s="431">
        <f>C5</f>
        <v>919508.1</v>
      </c>
      <c r="E5" s="471"/>
      <c r="F5" s="472" t="str">
        <f t="shared" ref="F5:F19" si="2">IF(ISBLANK(E5),"----",E5-$D5)</f>
        <v>----</v>
      </c>
      <c r="G5" s="471"/>
      <c r="H5" s="472" t="str">
        <f t="shared" si="0"/>
        <v>----</v>
      </c>
      <c r="I5" s="484"/>
      <c r="J5" s="83" t="str">
        <f t="shared" si="1"/>
        <v>----</v>
      </c>
    </row>
    <row r="6" spans="1:10">
      <c r="A6" s="102"/>
      <c r="B6" s="103"/>
      <c r="C6" s="87"/>
      <c r="D6" s="466"/>
      <c r="E6" s="473"/>
      <c r="F6" s="485" t="str">
        <f t="shared" si="2"/>
        <v>----</v>
      </c>
      <c r="G6" s="473"/>
      <c r="H6" s="485" t="str">
        <f t="shared" si="0"/>
        <v>----</v>
      </c>
      <c r="I6" s="486"/>
      <c r="J6" s="115" t="str">
        <f t="shared" si="1"/>
        <v>----</v>
      </c>
    </row>
    <row r="7" spans="1:10">
      <c r="A7" s="102"/>
      <c r="B7" s="103"/>
      <c r="C7" s="87"/>
      <c r="D7" s="466"/>
      <c r="E7" s="473"/>
      <c r="F7" s="485" t="str">
        <f t="shared" si="2"/>
        <v>----</v>
      </c>
      <c r="G7" s="473"/>
      <c r="H7" s="485" t="str">
        <f t="shared" si="0"/>
        <v>----</v>
      </c>
      <c r="I7" s="486"/>
      <c r="J7" s="115" t="str">
        <f t="shared" si="1"/>
        <v>----</v>
      </c>
    </row>
    <row r="8" spans="1:10">
      <c r="A8" s="102"/>
      <c r="B8" s="103"/>
      <c r="C8" s="87"/>
      <c r="D8" s="466"/>
      <c r="E8" s="473"/>
      <c r="F8" s="485" t="str">
        <f t="shared" si="2"/>
        <v>----</v>
      </c>
      <c r="G8" s="473"/>
      <c r="H8" s="485" t="str">
        <f t="shared" si="0"/>
        <v>----</v>
      </c>
      <c r="I8" s="486"/>
      <c r="J8" s="115" t="str">
        <f t="shared" si="1"/>
        <v>----</v>
      </c>
    </row>
    <row r="9" spans="1:10">
      <c r="A9" s="102"/>
      <c r="B9" s="103"/>
      <c r="C9" s="87"/>
      <c r="D9" s="466"/>
      <c r="E9" s="473"/>
      <c r="F9" s="485" t="str">
        <f t="shared" si="2"/>
        <v>----</v>
      </c>
      <c r="G9" s="473"/>
      <c r="H9" s="485" t="str">
        <f t="shared" si="0"/>
        <v>----</v>
      </c>
      <c r="I9" s="486"/>
      <c r="J9" s="115" t="str">
        <f t="shared" si="1"/>
        <v>----</v>
      </c>
    </row>
    <row r="10" spans="1:10">
      <c r="A10" s="102"/>
      <c r="B10" s="103"/>
      <c r="C10" s="87"/>
      <c r="D10" s="466"/>
      <c r="E10" s="473"/>
      <c r="F10" s="485" t="str">
        <f t="shared" si="2"/>
        <v>----</v>
      </c>
      <c r="G10" s="473"/>
      <c r="H10" s="485" t="str">
        <f t="shared" si="0"/>
        <v>----</v>
      </c>
      <c r="I10" s="486"/>
      <c r="J10" s="115" t="str">
        <f t="shared" si="1"/>
        <v>----</v>
      </c>
    </row>
    <row r="11" spans="1:10">
      <c r="A11" s="102"/>
      <c r="B11" s="103"/>
      <c r="C11" s="87"/>
      <c r="D11" s="466"/>
      <c r="E11" s="473"/>
      <c r="F11" s="485" t="str">
        <f t="shared" si="2"/>
        <v>----</v>
      </c>
      <c r="G11" s="473"/>
      <c r="H11" s="485" t="str">
        <f t="shared" si="0"/>
        <v>----</v>
      </c>
      <c r="I11" s="486"/>
      <c r="J11" s="115" t="str">
        <f t="shared" si="1"/>
        <v>----</v>
      </c>
    </row>
    <row r="12" spans="1:10">
      <c r="A12" s="102"/>
      <c r="B12" s="103"/>
      <c r="C12" s="87"/>
      <c r="D12" s="466"/>
      <c r="E12" s="473"/>
      <c r="F12" s="485" t="str">
        <f t="shared" si="2"/>
        <v>----</v>
      </c>
      <c r="G12" s="473"/>
      <c r="H12" s="485" t="str">
        <f t="shared" si="0"/>
        <v>----</v>
      </c>
      <c r="I12" s="486"/>
      <c r="J12" s="115" t="str">
        <f t="shared" si="1"/>
        <v>----</v>
      </c>
    </row>
    <row r="13" spans="1:10">
      <c r="A13" s="102"/>
      <c r="B13" s="103"/>
      <c r="C13" s="87"/>
      <c r="D13" s="466"/>
      <c r="E13" s="473"/>
      <c r="F13" s="485" t="str">
        <f t="shared" si="2"/>
        <v>----</v>
      </c>
      <c r="G13" s="473"/>
      <c r="H13" s="485" t="str">
        <f t="shared" si="0"/>
        <v>----</v>
      </c>
      <c r="I13" s="486"/>
      <c r="J13" s="115" t="str">
        <f t="shared" si="1"/>
        <v>----</v>
      </c>
    </row>
    <row r="14" spans="1:10">
      <c r="A14" s="102"/>
      <c r="B14" s="103"/>
      <c r="C14" s="87"/>
      <c r="D14" s="466"/>
      <c r="E14" s="473"/>
      <c r="F14" s="485" t="str">
        <f t="shared" si="2"/>
        <v>----</v>
      </c>
      <c r="G14" s="473"/>
      <c r="H14" s="485" t="str">
        <f t="shared" si="0"/>
        <v>----</v>
      </c>
      <c r="I14" s="486"/>
      <c r="J14" s="115" t="str">
        <f t="shared" si="1"/>
        <v>----</v>
      </c>
    </row>
    <row r="15" spans="1:10">
      <c r="A15" s="102"/>
      <c r="B15" s="103"/>
      <c r="C15" s="87"/>
      <c r="D15" s="466"/>
      <c r="E15" s="473"/>
      <c r="F15" s="485" t="str">
        <f t="shared" si="2"/>
        <v>----</v>
      </c>
      <c r="G15" s="473"/>
      <c r="H15" s="485" t="str">
        <f t="shared" si="0"/>
        <v>----</v>
      </c>
      <c r="I15" s="486"/>
      <c r="J15" s="115" t="str">
        <f t="shared" si="1"/>
        <v>----</v>
      </c>
    </row>
    <row r="16" spans="1:10">
      <c r="A16" s="102"/>
      <c r="B16" s="103"/>
      <c r="C16" s="87"/>
      <c r="D16" s="466"/>
      <c r="E16" s="473"/>
      <c r="F16" s="485" t="str">
        <f t="shared" si="2"/>
        <v>----</v>
      </c>
      <c r="G16" s="473"/>
      <c r="H16" s="485" t="str">
        <f t="shared" si="0"/>
        <v>----</v>
      </c>
      <c r="I16" s="486"/>
      <c r="J16" s="115" t="str">
        <f t="shared" si="1"/>
        <v>----</v>
      </c>
    </row>
    <row r="17" spans="1:10">
      <c r="A17" s="102"/>
      <c r="B17" s="103"/>
      <c r="C17" s="87"/>
      <c r="D17" s="466"/>
      <c r="E17" s="473"/>
      <c r="F17" s="485" t="str">
        <f t="shared" si="2"/>
        <v>----</v>
      </c>
      <c r="G17" s="473"/>
      <c r="H17" s="485" t="str">
        <f t="shared" si="0"/>
        <v>----</v>
      </c>
      <c r="I17" s="486"/>
      <c r="J17" s="115" t="str">
        <f t="shared" si="1"/>
        <v>----</v>
      </c>
    </row>
    <row r="18" spans="1:10">
      <c r="A18" s="116"/>
      <c r="B18" s="117"/>
      <c r="C18" s="118"/>
      <c r="D18" s="467"/>
      <c r="E18" s="474"/>
      <c r="F18" s="487" t="str">
        <f t="shared" si="2"/>
        <v>----</v>
      </c>
      <c r="G18" s="474"/>
      <c r="H18" s="487" t="str">
        <f t="shared" si="0"/>
        <v>----</v>
      </c>
      <c r="I18" s="488"/>
      <c r="J18" s="119" t="str">
        <f t="shared" si="1"/>
        <v>----</v>
      </c>
    </row>
    <row r="19" spans="1:10" ht="15.75" thickBot="1">
      <c r="A19" s="74"/>
      <c r="B19" s="75"/>
      <c r="C19" s="76"/>
      <c r="D19" s="430"/>
      <c r="E19" s="475"/>
      <c r="F19" s="476" t="str">
        <f t="shared" si="2"/>
        <v>----</v>
      </c>
      <c r="G19" s="475"/>
      <c r="H19" s="476" t="str">
        <f t="shared" si="0"/>
        <v>----</v>
      </c>
      <c r="I19" s="481"/>
      <c r="J19" s="77" t="str">
        <f t="shared" si="1"/>
        <v>----</v>
      </c>
    </row>
    <row r="20" spans="1:10" ht="15.75" thickBot="1">
      <c r="A20" s="27"/>
      <c r="B20" s="27"/>
      <c r="C20" s="28"/>
      <c r="D20" s="28"/>
      <c r="E20" s="439"/>
      <c r="F20" s="441">
        <f>SUM(F4:F19)</f>
        <v>0</v>
      </c>
      <c r="G20" s="439"/>
      <c r="H20" s="441">
        <f>SUM(H4:H19)</f>
        <v>0</v>
      </c>
      <c r="I20" s="28"/>
      <c r="J20" s="69">
        <f>SUM(J4:J19)</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C594-B04C-4618-8DD7-A35E5AA08ACD}">
  <dimension ref="A1:L18"/>
  <sheetViews>
    <sheetView workbookViewId="0">
      <selection activeCell="I7" sqref="I7"/>
    </sheetView>
  </sheetViews>
  <sheetFormatPr defaultRowHeight="15"/>
  <cols>
    <col min="2" max="2" width="23.7109375" bestFit="1" customWidth="1"/>
    <col min="3" max="3" width="12" bestFit="1" customWidth="1"/>
    <col min="4" max="4" width="11.5703125" bestFit="1" customWidth="1"/>
    <col min="5" max="5" width="10.7109375" style="432" bestFit="1" customWidth="1"/>
    <col min="6" max="6" width="9.140625" style="432"/>
    <col min="7" max="7" width="10.140625" style="432" bestFit="1" customWidth="1"/>
    <col min="8" max="8" width="9.140625" style="432"/>
    <col min="9" max="9" width="10.140625" bestFit="1" customWidth="1"/>
    <col min="12" max="12" width="13.5703125" bestFit="1" customWidth="1"/>
  </cols>
  <sheetData>
    <row r="1" spans="1:12" ht="15.75" thickBot="1">
      <c r="A1" s="952" t="s">
        <v>250</v>
      </c>
      <c r="B1" s="953"/>
      <c r="C1" s="953"/>
      <c r="D1" s="953"/>
      <c r="E1" s="953"/>
      <c r="F1" s="953"/>
      <c r="G1" s="953"/>
      <c r="H1" s="953"/>
      <c r="I1" s="953"/>
      <c r="J1" s="954"/>
    </row>
    <row r="2" spans="1:12" s="432" customFormat="1">
      <c r="A2" s="959" t="s">
        <v>110</v>
      </c>
      <c r="B2" s="961" t="s">
        <v>111</v>
      </c>
      <c r="C2" s="961" t="s">
        <v>112</v>
      </c>
      <c r="D2" s="963" t="s">
        <v>120</v>
      </c>
      <c r="E2" s="957" t="s">
        <v>701</v>
      </c>
      <c r="F2" s="958"/>
      <c r="G2" s="957" t="s">
        <v>702</v>
      </c>
      <c r="H2" s="958"/>
      <c r="I2" s="932" t="s">
        <v>796</v>
      </c>
      <c r="J2" s="933"/>
    </row>
    <row r="3" spans="1:12" ht="69" thickBot="1">
      <c r="A3" s="960"/>
      <c r="B3" s="962"/>
      <c r="C3" s="962"/>
      <c r="D3" s="964"/>
      <c r="E3" s="460" t="s">
        <v>121</v>
      </c>
      <c r="F3" s="468" t="s">
        <v>113</v>
      </c>
      <c r="G3" s="460" t="s">
        <v>121</v>
      </c>
      <c r="H3" s="468" t="s">
        <v>113</v>
      </c>
      <c r="I3" s="478" t="s">
        <v>121</v>
      </c>
      <c r="J3" s="25" t="s">
        <v>113</v>
      </c>
    </row>
    <row r="4" spans="1:12">
      <c r="A4" s="70">
        <v>44362</v>
      </c>
      <c r="B4" s="71" t="s">
        <v>430</v>
      </c>
      <c r="C4" s="781">
        <v>240757.75</v>
      </c>
      <c r="D4" s="787">
        <f>C4</f>
        <v>240757.75</v>
      </c>
      <c r="E4" s="794">
        <v>241885.75</v>
      </c>
      <c r="F4" s="803">
        <f>IF(ISBLANK(E4),"----",E4-$D4)</f>
        <v>1128</v>
      </c>
      <c r="G4" s="794" t="s">
        <v>703</v>
      </c>
      <c r="H4" s="803" t="str">
        <f t="shared" ref="H4:H17" si="0">IF(OR(G4="Complete",ISBLANK(G4)),"----",G4-$D4)</f>
        <v>----</v>
      </c>
      <c r="I4" s="791" t="s">
        <v>703</v>
      </c>
      <c r="J4" s="804" t="str">
        <f t="shared" ref="J4:J17" si="1">IF(OR(I4="Complete",ISBLANK(I4)),"----",I4-$D4)</f>
        <v>----</v>
      </c>
    </row>
    <row r="5" spans="1:12">
      <c r="A5" s="88">
        <v>44944</v>
      </c>
      <c r="B5" s="101" t="s">
        <v>622</v>
      </c>
      <c r="C5" s="784">
        <v>970630.8</v>
      </c>
      <c r="D5" s="788">
        <f>C5</f>
        <v>970630.8</v>
      </c>
      <c r="E5" s="795"/>
      <c r="F5" s="807" t="str">
        <f t="shared" ref="F5:F17" si="2">IF(ISBLANK(E5),"----",E5-$D5)</f>
        <v>----</v>
      </c>
      <c r="G5" s="795"/>
      <c r="H5" s="807" t="str">
        <f t="shared" si="0"/>
        <v>----</v>
      </c>
      <c r="I5" s="792"/>
      <c r="J5" s="808" t="str">
        <f t="shared" si="1"/>
        <v>----</v>
      </c>
    </row>
    <row r="6" spans="1:12">
      <c r="A6" s="91">
        <v>44944</v>
      </c>
      <c r="B6" s="92" t="s">
        <v>623</v>
      </c>
      <c r="C6" s="782">
        <v>475421.25</v>
      </c>
      <c r="D6" s="797">
        <f>C6</f>
        <v>475421.25</v>
      </c>
      <c r="E6" s="799"/>
      <c r="F6" s="662" t="str">
        <f t="shared" si="2"/>
        <v>----</v>
      </c>
      <c r="G6" s="799"/>
      <c r="H6" s="662" t="str">
        <f t="shared" si="0"/>
        <v>----</v>
      </c>
      <c r="I6" s="798">
        <v>478655.71</v>
      </c>
      <c r="J6" s="663">
        <f t="shared" si="1"/>
        <v>3234.460000000021</v>
      </c>
    </row>
    <row r="7" spans="1:12">
      <c r="A7" s="88">
        <v>45006</v>
      </c>
      <c r="B7" s="101" t="s">
        <v>640</v>
      </c>
      <c r="C7" s="784">
        <v>2350566.17</v>
      </c>
      <c r="D7" s="788">
        <f>C7-L7</f>
        <v>470113.23399999994</v>
      </c>
      <c r="E7" s="795"/>
      <c r="F7" s="807" t="str">
        <f t="shared" si="2"/>
        <v>----</v>
      </c>
      <c r="G7" s="795"/>
      <c r="H7" s="807" t="str">
        <f t="shared" si="0"/>
        <v>----</v>
      </c>
      <c r="I7" s="792"/>
      <c r="J7" s="808" t="str">
        <f t="shared" si="1"/>
        <v>----</v>
      </c>
      <c r="K7" t="s">
        <v>641</v>
      </c>
      <c r="L7" s="368">
        <f>0.8*C7</f>
        <v>1880452.936</v>
      </c>
    </row>
    <row r="8" spans="1:12">
      <c r="A8" s="970">
        <v>45706</v>
      </c>
      <c r="B8" s="411" t="s">
        <v>829</v>
      </c>
      <c r="C8" s="782">
        <v>370190.5</v>
      </c>
      <c r="D8" s="797">
        <f>C8</f>
        <v>370190.5</v>
      </c>
      <c r="E8" s="799"/>
      <c r="F8" s="662" t="str">
        <f t="shared" si="2"/>
        <v>----</v>
      </c>
      <c r="G8" s="799"/>
      <c r="H8" s="662" t="str">
        <f t="shared" si="0"/>
        <v>----</v>
      </c>
      <c r="I8" s="798"/>
      <c r="J8" s="663" t="str">
        <f t="shared" si="1"/>
        <v>----</v>
      </c>
    </row>
    <row r="9" spans="1:12">
      <c r="A9" s="971"/>
      <c r="B9" s="697" t="s">
        <v>830</v>
      </c>
      <c r="C9" s="784">
        <v>217775</v>
      </c>
      <c r="D9" s="788">
        <f>C9</f>
        <v>217775</v>
      </c>
      <c r="E9" s="795"/>
      <c r="F9" s="807" t="str">
        <f t="shared" si="2"/>
        <v>----</v>
      </c>
      <c r="G9" s="795"/>
      <c r="H9" s="807" t="str">
        <f t="shared" si="0"/>
        <v>----</v>
      </c>
      <c r="I9" s="792"/>
      <c r="J9" s="808" t="str">
        <f t="shared" si="1"/>
        <v>----</v>
      </c>
    </row>
    <row r="10" spans="1:12">
      <c r="A10" s="971"/>
      <c r="B10" s="411" t="s">
        <v>831</v>
      </c>
      <c r="C10" s="782">
        <v>204429.5</v>
      </c>
      <c r="D10" s="797">
        <f>C10</f>
        <v>204429.5</v>
      </c>
      <c r="E10" s="799"/>
      <c r="F10" s="662" t="str">
        <f t="shared" si="2"/>
        <v>----</v>
      </c>
      <c r="G10" s="799"/>
      <c r="H10" s="662" t="str">
        <f t="shared" si="0"/>
        <v>----</v>
      </c>
      <c r="I10" s="798"/>
      <c r="J10" s="663" t="str">
        <f t="shared" si="1"/>
        <v>----</v>
      </c>
    </row>
    <row r="11" spans="1:12">
      <c r="A11" s="972"/>
      <c r="B11" s="697" t="s">
        <v>832</v>
      </c>
      <c r="C11" s="784">
        <v>397726</v>
      </c>
      <c r="D11" s="788">
        <f>C11</f>
        <v>397726</v>
      </c>
      <c r="E11" s="795"/>
      <c r="F11" s="807" t="str">
        <f t="shared" si="2"/>
        <v>----</v>
      </c>
      <c r="G11" s="795"/>
      <c r="H11" s="807" t="str">
        <f t="shared" si="0"/>
        <v>----</v>
      </c>
      <c r="I11" s="792"/>
      <c r="J11" s="808" t="str">
        <f t="shared" si="1"/>
        <v>----</v>
      </c>
    </row>
    <row r="12" spans="1:12">
      <c r="A12" s="91"/>
      <c r="B12" s="92"/>
      <c r="C12" s="782"/>
      <c r="D12" s="797"/>
      <c r="E12" s="799"/>
      <c r="F12" s="662" t="str">
        <f t="shared" si="2"/>
        <v>----</v>
      </c>
      <c r="G12" s="799"/>
      <c r="H12" s="662" t="str">
        <f t="shared" si="0"/>
        <v>----</v>
      </c>
      <c r="I12" s="798"/>
      <c r="J12" s="663" t="str">
        <f t="shared" si="1"/>
        <v>----</v>
      </c>
    </row>
    <row r="13" spans="1:12">
      <c r="A13" s="88"/>
      <c r="B13" s="101"/>
      <c r="C13" s="784"/>
      <c r="D13" s="788"/>
      <c r="E13" s="795"/>
      <c r="F13" s="807" t="str">
        <f t="shared" si="2"/>
        <v>----</v>
      </c>
      <c r="G13" s="795"/>
      <c r="H13" s="807" t="str">
        <f t="shared" si="0"/>
        <v>----</v>
      </c>
      <c r="I13" s="792"/>
      <c r="J13" s="808" t="str">
        <f t="shared" si="1"/>
        <v>----</v>
      </c>
    </row>
    <row r="14" spans="1:12">
      <c r="A14" s="91"/>
      <c r="B14" s="92"/>
      <c r="C14" s="782"/>
      <c r="D14" s="797"/>
      <c r="E14" s="799"/>
      <c r="F14" s="662" t="str">
        <f t="shared" si="2"/>
        <v>----</v>
      </c>
      <c r="G14" s="799"/>
      <c r="H14" s="662" t="str">
        <f t="shared" si="0"/>
        <v>----</v>
      </c>
      <c r="I14" s="798"/>
      <c r="J14" s="663" t="str">
        <f t="shared" si="1"/>
        <v>----</v>
      </c>
    </row>
    <row r="15" spans="1:12">
      <c r="A15" s="88"/>
      <c r="B15" s="101"/>
      <c r="C15" s="784"/>
      <c r="D15" s="788"/>
      <c r="E15" s="795"/>
      <c r="F15" s="807" t="str">
        <f t="shared" si="2"/>
        <v>----</v>
      </c>
      <c r="G15" s="795"/>
      <c r="H15" s="807" t="str">
        <f t="shared" si="0"/>
        <v>----</v>
      </c>
      <c r="I15" s="792"/>
      <c r="J15" s="808" t="str">
        <f t="shared" si="1"/>
        <v>----</v>
      </c>
    </row>
    <row r="16" spans="1:12">
      <c r="A16" s="91"/>
      <c r="B16" s="92"/>
      <c r="C16" s="782"/>
      <c r="D16" s="797"/>
      <c r="E16" s="799"/>
      <c r="F16" s="662" t="str">
        <f t="shared" si="2"/>
        <v>----</v>
      </c>
      <c r="G16" s="799"/>
      <c r="H16" s="662" t="str">
        <f t="shared" si="0"/>
        <v>----</v>
      </c>
      <c r="I16" s="798"/>
      <c r="J16" s="663" t="str">
        <f t="shared" si="1"/>
        <v>----</v>
      </c>
    </row>
    <row r="17" spans="1:10" ht="15.75" thickBot="1">
      <c r="A17" s="74"/>
      <c r="B17" s="75"/>
      <c r="C17" s="783"/>
      <c r="D17" s="790"/>
      <c r="E17" s="796"/>
      <c r="F17" s="801" t="str">
        <f t="shared" si="2"/>
        <v>----</v>
      </c>
      <c r="G17" s="796"/>
      <c r="H17" s="801" t="str">
        <f t="shared" si="0"/>
        <v>----</v>
      </c>
      <c r="I17" s="793"/>
      <c r="J17" s="802" t="str">
        <f t="shared" si="1"/>
        <v>----</v>
      </c>
    </row>
    <row r="18" spans="1:10" ht="15.75" thickBot="1">
      <c r="A18" s="27"/>
      <c r="B18" s="27"/>
      <c r="C18" s="28"/>
      <c r="D18" s="28"/>
      <c r="E18" s="439"/>
      <c r="F18" s="441">
        <f>SUM(F4:F17)</f>
        <v>1128</v>
      </c>
      <c r="G18" s="439"/>
      <c r="H18" s="441">
        <f>SUM(H4:H17)</f>
        <v>0</v>
      </c>
      <c r="I18" s="28"/>
      <c r="J18" s="69">
        <f>SUM(J4:J17)</f>
        <v>3234.460000000021</v>
      </c>
    </row>
  </sheetData>
  <mergeCells count="9">
    <mergeCell ref="A8:A11"/>
    <mergeCell ref="A1:J1"/>
    <mergeCell ref="E2:F2"/>
    <mergeCell ref="I2:J2"/>
    <mergeCell ref="A2:A3"/>
    <mergeCell ref="B2:B3"/>
    <mergeCell ref="C2:C3"/>
    <mergeCell ref="D2:D3"/>
    <mergeCell ref="G2:H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3E748-F08E-4923-AEED-86BEA1259A11}">
  <dimension ref="A1:K18"/>
  <sheetViews>
    <sheetView workbookViewId="0">
      <selection activeCell="G7" sqref="G7"/>
    </sheetView>
  </sheetViews>
  <sheetFormatPr defaultRowHeight="15"/>
  <cols>
    <col min="2" max="2" width="23.7109375" bestFit="1" customWidth="1"/>
    <col min="3" max="3" width="10.7109375" bestFit="1" customWidth="1"/>
    <col min="4" max="4" width="11" customWidth="1"/>
    <col min="5" max="5" width="9.140625" style="432"/>
    <col min="6" max="6" width="14.85546875" style="432" customWidth="1"/>
    <col min="7" max="7" width="10.7109375" style="432" bestFit="1" customWidth="1"/>
    <col min="8" max="8" width="14.85546875" style="432" customWidth="1"/>
    <col min="9" max="9" width="10.7109375" bestFit="1" customWidth="1"/>
    <col min="10" max="10" width="14.85546875" customWidth="1"/>
  </cols>
  <sheetData>
    <row r="1" spans="1:11" ht="15.75" thickBot="1">
      <c r="A1" s="952" t="s">
        <v>151</v>
      </c>
      <c r="B1" s="953"/>
      <c r="C1" s="953"/>
      <c r="D1" s="953"/>
      <c r="E1" s="953"/>
      <c r="F1" s="953"/>
      <c r="G1" s="953"/>
      <c r="H1" s="953"/>
      <c r="I1" s="953"/>
      <c r="J1" s="954"/>
    </row>
    <row r="2" spans="1:11" s="432" customFormat="1">
      <c r="A2" s="959" t="s">
        <v>110</v>
      </c>
      <c r="B2" s="961" t="s">
        <v>111</v>
      </c>
      <c r="C2" s="961" t="s">
        <v>112</v>
      </c>
      <c r="D2" s="963" t="s">
        <v>120</v>
      </c>
      <c r="E2" s="957" t="s">
        <v>701</v>
      </c>
      <c r="F2" s="958"/>
      <c r="G2" s="957" t="s">
        <v>702</v>
      </c>
      <c r="H2" s="958"/>
      <c r="I2" s="932" t="s">
        <v>796</v>
      </c>
      <c r="J2" s="933"/>
    </row>
    <row r="3" spans="1:11" ht="46.5" thickBot="1">
      <c r="A3" s="960"/>
      <c r="B3" s="962"/>
      <c r="C3" s="962"/>
      <c r="D3" s="964"/>
      <c r="E3" s="460" t="s">
        <v>121</v>
      </c>
      <c r="F3" s="468" t="s">
        <v>704</v>
      </c>
      <c r="G3" s="460" t="s">
        <v>121</v>
      </c>
      <c r="H3" s="468" t="s">
        <v>704</v>
      </c>
      <c r="I3" s="478" t="s">
        <v>121</v>
      </c>
      <c r="J3" s="25" t="s">
        <v>704</v>
      </c>
    </row>
    <row r="4" spans="1:11">
      <c r="A4" s="70">
        <v>43816</v>
      </c>
      <c r="B4" s="71" t="s">
        <v>170</v>
      </c>
      <c r="C4" s="72">
        <v>365363.15</v>
      </c>
      <c r="D4" s="429">
        <f>C4</f>
        <v>365363.15</v>
      </c>
      <c r="E4" s="469"/>
      <c r="F4" s="470" t="str">
        <f>IF(ISBLANK(E4),"----",E4-$D4)</f>
        <v>----</v>
      </c>
      <c r="G4" s="469">
        <v>365526.6</v>
      </c>
      <c r="H4" s="470">
        <f t="shared" ref="H4:H17" si="0">IF(OR(G4="Complete",ISBLANK(G4)),"----",G4-$D4)</f>
        <v>163.44999999995343</v>
      </c>
      <c r="I4" s="479" t="s">
        <v>703</v>
      </c>
      <c r="J4" s="73" t="str">
        <f t="shared" ref="J4:J17" si="1">IF(OR(I4="Complete",ISBLANK(I4)),"----",I4-$D4)</f>
        <v>----</v>
      </c>
    </row>
    <row r="5" spans="1:11">
      <c r="A5" s="88">
        <v>44180</v>
      </c>
      <c r="B5" s="101" t="s">
        <v>360</v>
      </c>
      <c r="C5" s="118">
        <v>176897</v>
      </c>
      <c r="D5" s="431">
        <f>C5</f>
        <v>176897</v>
      </c>
      <c r="E5" s="471"/>
      <c r="F5" s="487" t="str">
        <f t="shared" ref="F5:F17" si="2">IF(ISBLANK(E5),"----",E5-$D5)</f>
        <v>----</v>
      </c>
      <c r="G5" s="471"/>
      <c r="H5" s="487" t="str">
        <f t="shared" si="0"/>
        <v>----</v>
      </c>
      <c r="I5" s="484"/>
      <c r="J5" s="119" t="str">
        <f t="shared" si="1"/>
        <v>----</v>
      </c>
    </row>
    <row r="6" spans="1:11">
      <c r="A6" s="102">
        <v>44243</v>
      </c>
      <c r="B6" s="103" t="s">
        <v>391</v>
      </c>
      <c r="C6" s="87">
        <v>842906.7</v>
      </c>
      <c r="D6" s="466">
        <v>542496.69999999995</v>
      </c>
      <c r="E6" s="473"/>
      <c r="F6" s="487" t="str">
        <f t="shared" si="2"/>
        <v>----</v>
      </c>
      <c r="G6" s="473"/>
      <c r="H6" s="487" t="str">
        <f t="shared" si="0"/>
        <v>----</v>
      </c>
      <c r="I6" s="486">
        <f>793938.56-300410</f>
        <v>493528.56000000006</v>
      </c>
      <c r="J6" s="119">
        <f t="shared" si="1"/>
        <v>-48968.139999999898</v>
      </c>
      <c r="K6" s="780" t="s">
        <v>810</v>
      </c>
    </row>
    <row r="7" spans="1:11">
      <c r="A7" s="102">
        <v>44271</v>
      </c>
      <c r="B7" s="103" t="s">
        <v>405</v>
      </c>
      <c r="C7" s="87">
        <v>125028.75</v>
      </c>
      <c r="D7" s="466">
        <f>C7</f>
        <v>125028.75</v>
      </c>
      <c r="E7" s="473"/>
      <c r="F7" s="487" t="str">
        <f t="shared" si="2"/>
        <v>----</v>
      </c>
      <c r="G7" s="473">
        <v>126843.08</v>
      </c>
      <c r="H7" s="487">
        <f t="shared" si="0"/>
        <v>1814.3300000000017</v>
      </c>
      <c r="I7" s="486" t="s">
        <v>703</v>
      </c>
      <c r="J7" s="119" t="str">
        <f t="shared" si="1"/>
        <v>----</v>
      </c>
    </row>
    <row r="8" spans="1:11">
      <c r="A8" s="102">
        <v>45251</v>
      </c>
      <c r="B8" s="103" t="str">
        <f>Pocahontas!B5</f>
        <v>BROS-C076(70)--8J-76</v>
      </c>
      <c r="C8" s="87">
        <f>Pocahontas!C5</f>
        <v>408294.37</v>
      </c>
      <c r="D8" s="466">
        <f>Pocahontas!D5</f>
        <v>387529.37</v>
      </c>
      <c r="E8" s="473"/>
      <c r="F8" s="487" t="str">
        <f t="shared" si="2"/>
        <v>----</v>
      </c>
      <c r="G8" s="473"/>
      <c r="H8" s="487" t="str">
        <f t="shared" si="0"/>
        <v>----</v>
      </c>
      <c r="I8" s="486"/>
      <c r="J8" s="119" t="str">
        <f t="shared" si="1"/>
        <v>----</v>
      </c>
    </row>
    <row r="9" spans="1:11">
      <c r="A9" s="102">
        <v>45342</v>
      </c>
      <c r="B9" s="450" t="s">
        <v>727</v>
      </c>
      <c r="C9" s="593">
        <v>979511.38</v>
      </c>
      <c r="D9" s="594">
        <f>C9</f>
        <v>979511.38</v>
      </c>
      <c r="E9" s="473"/>
      <c r="F9" s="487" t="str">
        <f t="shared" si="2"/>
        <v>----</v>
      </c>
      <c r="G9" s="473"/>
      <c r="H9" s="487" t="str">
        <f t="shared" si="0"/>
        <v>----</v>
      </c>
      <c r="I9" s="486"/>
      <c r="J9" s="119" t="str">
        <f t="shared" si="1"/>
        <v>----</v>
      </c>
    </row>
    <row r="10" spans="1:11">
      <c r="A10" s="102">
        <v>45734</v>
      </c>
      <c r="B10" s="721" t="s">
        <v>854</v>
      </c>
      <c r="C10" s="593">
        <v>594238.19999999995</v>
      </c>
      <c r="D10" s="594">
        <f>C10</f>
        <v>594238.19999999995</v>
      </c>
      <c r="E10" s="473"/>
      <c r="F10" s="487" t="str">
        <f t="shared" si="2"/>
        <v>----</v>
      </c>
      <c r="G10" s="473"/>
      <c r="H10" s="487" t="str">
        <f t="shared" si="0"/>
        <v>----</v>
      </c>
      <c r="I10" s="486"/>
      <c r="J10" s="119" t="str">
        <f t="shared" si="1"/>
        <v>----</v>
      </c>
    </row>
    <row r="11" spans="1:11">
      <c r="A11" s="102"/>
      <c r="B11" s="103"/>
      <c r="C11" s="87"/>
      <c r="D11" s="466"/>
      <c r="E11" s="473"/>
      <c r="F11" s="487" t="str">
        <f t="shared" si="2"/>
        <v>----</v>
      </c>
      <c r="G11" s="473"/>
      <c r="H11" s="487" t="str">
        <f t="shared" si="0"/>
        <v>----</v>
      </c>
      <c r="I11" s="486"/>
      <c r="J11" s="119" t="str">
        <f t="shared" si="1"/>
        <v>----</v>
      </c>
    </row>
    <row r="12" spans="1:11">
      <c r="A12" s="102"/>
      <c r="B12" s="103"/>
      <c r="C12" s="87"/>
      <c r="D12" s="466"/>
      <c r="E12" s="473"/>
      <c r="F12" s="487" t="str">
        <f t="shared" si="2"/>
        <v>----</v>
      </c>
      <c r="G12" s="473"/>
      <c r="H12" s="487" t="str">
        <f t="shared" si="0"/>
        <v>----</v>
      </c>
      <c r="I12" s="486"/>
      <c r="J12" s="119" t="str">
        <f t="shared" si="1"/>
        <v>----</v>
      </c>
    </row>
    <row r="13" spans="1:11">
      <c r="A13" s="102"/>
      <c r="B13" s="103"/>
      <c r="C13" s="87"/>
      <c r="D13" s="466"/>
      <c r="E13" s="473"/>
      <c r="F13" s="487" t="str">
        <f t="shared" si="2"/>
        <v>----</v>
      </c>
      <c r="G13" s="473"/>
      <c r="H13" s="487" t="str">
        <f t="shared" si="0"/>
        <v>----</v>
      </c>
      <c r="I13" s="486"/>
      <c r="J13" s="119" t="str">
        <f t="shared" si="1"/>
        <v>----</v>
      </c>
    </row>
    <row r="14" spans="1:11">
      <c r="A14" s="102"/>
      <c r="B14" s="103"/>
      <c r="C14" s="87"/>
      <c r="D14" s="466"/>
      <c r="E14" s="473"/>
      <c r="F14" s="487" t="str">
        <f t="shared" si="2"/>
        <v>----</v>
      </c>
      <c r="G14" s="473"/>
      <c r="H14" s="487" t="str">
        <f t="shared" si="0"/>
        <v>----</v>
      </c>
      <c r="I14" s="486"/>
      <c r="J14" s="119" t="str">
        <f t="shared" si="1"/>
        <v>----</v>
      </c>
    </row>
    <row r="15" spans="1:11">
      <c r="A15" s="102"/>
      <c r="B15" s="103"/>
      <c r="C15" s="87"/>
      <c r="D15" s="466"/>
      <c r="E15" s="473"/>
      <c r="F15" s="487" t="str">
        <f t="shared" si="2"/>
        <v>----</v>
      </c>
      <c r="G15" s="473"/>
      <c r="H15" s="487" t="str">
        <f t="shared" si="0"/>
        <v>----</v>
      </c>
      <c r="I15" s="486"/>
      <c r="J15" s="119" t="str">
        <f t="shared" si="1"/>
        <v>----</v>
      </c>
    </row>
    <row r="16" spans="1:11">
      <c r="A16" s="116"/>
      <c r="B16" s="117"/>
      <c r="C16" s="118"/>
      <c r="D16" s="467"/>
      <c r="E16" s="474"/>
      <c r="F16" s="487" t="str">
        <f t="shared" si="2"/>
        <v>----</v>
      </c>
      <c r="G16" s="474"/>
      <c r="H16" s="487" t="str">
        <f t="shared" si="0"/>
        <v>----</v>
      </c>
      <c r="I16" s="488"/>
      <c r="J16" s="119" t="str">
        <f t="shared" si="1"/>
        <v>----</v>
      </c>
    </row>
    <row r="17" spans="1:10" ht="15.75" thickBot="1">
      <c r="A17" s="74"/>
      <c r="B17" s="75"/>
      <c r="C17" s="76"/>
      <c r="D17" s="430"/>
      <c r="E17" s="475"/>
      <c r="F17" s="476" t="str">
        <f t="shared" si="2"/>
        <v>----</v>
      </c>
      <c r="G17" s="475"/>
      <c r="H17" s="476" t="str">
        <f t="shared" si="0"/>
        <v>----</v>
      </c>
      <c r="I17" s="481"/>
      <c r="J17" s="77" t="str">
        <f t="shared" si="1"/>
        <v>----</v>
      </c>
    </row>
    <row r="18" spans="1:10" ht="15.75" thickBot="1">
      <c r="A18" s="27"/>
      <c r="B18" s="27"/>
      <c r="C18" s="28"/>
      <c r="D18" s="28"/>
      <c r="E18" s="439"/>
      <c r="F18" s="441">
        <f>SUM(F4:F17)</f>
        <v>0</v>
      </c>
      <c r="G18" s="439"/>
      <c r="H18" s="441">
        <f>SUM(H4:H17)</f>
        <v>1977.7799999999552</v>
      </c>
      <c r="I18" s="28"/>
      <c r="J18" s="69">
        <f>SUM(J4:J17)</f>
        <v>-48968.139999999898</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3160-6B8B-49B5-82AB-347CE80961B8}">
  <dimension ref="A1:K23"/>
  <sheetViews>
    <sheetView workbookViewId="0">
      <selection activeCell="B23" sqref="B23"/>
    </sheetView>
  </sheetViews>
  <sheetFormatPr defaultRowHeight="15"/>
  <cols>
    <col min="2" max="2" width="23.7109375" bestFit="1" customWidth="1"/>
    <col min="3" max="3" width="10.7109375" bestFit="1" customWidth="1"/>
    <col min="4" max="4" width="11.5703125" customWidth="1"/>
    <col min="5" max="5" width="10.42578125" style="432" customWidth="1"/>
    <col min="6" max="6" width="11" style="432" customWidth="1"/>
    <col min="7" max="7" width="10" style="432" customWidth="1"/>
    <col min="8" max="8" width="11" style="432" customWidth="1"/>
    <col min="9" max="9" width="10" customWidth="1"/>
    <col min="10" max="10" width="11" customWidth="1"/>
  </cols>
  <sheetData>
    <row r="1" spans="1:11" ht="14.25" customHeight="1" thickBot="1">
      <c r="A1" s="952" t="s">
        <v>132</v>
      </c>
      <c r="B1" s="953"/>
      <c r="C1" s="953"/>
      <c r="D1" s="953"/>
      <c r="E1" s="953"/>
      <c r="F1" s="953"/>
      <c r="G1" s="953"/>
      <c r="H1" s="953"/>
      <c r="I1" s="953"/>
      <c r="J1" s="954"/>
    </row>
    <row r="2" spans="1:11" s="432" customFormat="1" ht="14.25" customHeight="1">
      <c r="A2" s="959" t="s">
        <v>110</v>
      </c>
      <c r="B2" s="961" t="s">
        <v>111</v>
      </c>
      <c r="C2" s="961" t="s">
        <v>112</v>
      </c>
      <c r="D2" s="963" t="s">
        <v>120</v>
      </c>
      <c r="E2" s="957" t="s">
        <v>701</v>
      </c>
      <c r="F2" s="958"/>
      <c r="G2" s="957" t="s">
        <v>702</v>
      </c>
      <c r="H2" s="958"/>
      <c r="I2" s="932" t="s">
        <v>796</v>
      </c>
      <c r="J2" s="933"/>
    </row>
    <row r="3" spans="1:11" ht="57.75" thickBot="1">
      <c r="A3" s="960"/>
      <c r="B3" s="962"/>
      <c r="C3" s="962"/>
      <c r="D3" s="964"/>
      <c r="E3" s="460" t="s">
        <v>121</v>
      </c>
      <c r="F3" s="468" t="s">
        <v>704</v>
      </c>
      <c r="G3" s="460" t="s">
        <v>121</v>
      </c>
      <c r="H3" s="468" t="s">
        <v>704</v>
      </c>
      <c r="I3" s="478" t="s">
        <v>121</v>
      </c>
      <c r="J3" s="25" t="s">
        <v>704</v>
      </c>
    </row>
    <row r="4" spans="1:11">
      <c r="A4" s="70">
        <v>43753</v>
      </c>
      <c r="B4" s="257" t="s">
        <v>477</v>
      </c>
      <c r="C4" s="781">
        <v>319293.5</v>
      </c>
      <c r="D4" s="787">
        <f>C4</f>
        <v>319293.5</v>
      </c>
      <c r="E4" s="794"/>
      <c r="F4" s="803" t="str">
        <f>IF(ISBLANK(E4),"----",E4-$D4)</f>
        <v>----</v>
      </c>
      <c r="G4" s="794"/>
      <c r="H4" s="803" t="str">
        <f t="shared" ref="H4:H22" si="0">IF(OR(G4="Complete",ISBLANK(G4)),"----",G4-$D4)</f>
        <v>----</v>
      </c>
      <c r="I4" s="791"/>
      <c r="J4" s="804" t="str">
        <f t="shared" ref="J4:J22" si="1">IF(OR(I4="Complete",ISBLANK(I4)),"----",I4-$D4)</f>
        <v>----</v>
      </c>
    </row>
    <row r="5" spans="1:11">
      <c r="A5" s="88">
        <v>44551</v>
      </c>
      <c r="B5" s="258" t="s">
        <v>478</v>
      </c>
      <c r="C5" s="784">
        <v>342622.4</v>
      </c>
      <c r="D5" s="788">
        <f>C5</f>
        <v>342622.4</v>
      </c>
      <c r="E5" s="795">
        <v>342622.39</v>
      </c>
      <c r="F5" s="774">
        <f t="shared" ref="F5:F22" si="2">IF(ISBLANK(E5),"----",E5-$D5)</f>
        <v>-1.0000000009313226E-2</v>
      </c>
      <c r="G5" s="795" t="s">
        <v>703</v>
      </c>
      <c r="H5" s="774" t="str">
        <f t="shared" si="0"/>
        <v>----</v>
      </c>
      <c r="I5" s="792" t="s">
        <v>703</v>
      </c>
      <c r="J5" s="775" t="str">
        <f t="shared" si="1"/>
        <v>----</v>
      </c>
    </row>
    <row r="6" spans="1:11">
      <c r="A6" s="102">
        <v>44915</v>
      </c>
      <c r="B6" s="256" t="s">
        <v>602</v>
      </c>
      <c r="C6" s="770">
        <v>476642.96</v>
      </c>
      <c r="D6" s="729">
        <f>C6</f>
        <v>476642.96</v>
      </c>
      <c r="E6" s="739">
        <v>474129.24</v>
      </c>
      <c r="F6" s="774">
        <f t="shared" si="2"/>
        <v>-2513.7200000000303</v>
      </c>
      <c r="G6" s="739" t="s">
        <v>703</v>
      </c>
      <c r="H6" s="774" t="str">
        <f t="shared" si="0"/>
        <v>----</v>
      </c>
      <c r="I6" s="734" t="s">
        <v>703</v>
      </c>
      <c r="J6" s="775" t="str">
        <f t="shared" si="1"/>
        <v>----</v>
      </c>
    </row>
    <row r="7" spans="1:11">
      <c r="A7" s="970">
        <v>45734</v>
      </c>
      <c r="B7" s="256" t="s">
        <v>855</v>
      </c>
      <c r="C7" s="770">
        <v>184835</v>
      </c>
      <c r="D7" s="729">
        <f>C7</f>
        <v>184835</v>
      </c>
      <c r="E7" s="739"/>
      <c r="F7" s="774" t="str">
        <f t="shared" si="2"/>
        <v>----</v>
      </c>
      <c r="G7" s="739"/>
      <c r="H7" s="774" t="str">
        <f t="shared" si="0"/>
        <v>----</v>
      </c>
      <c r="I7" s="734"/>
      <c r="J7" s="775" t="str">
        <f t="shared" si="1"/>
        <v>----</v>
      </c>
    </row>
    <row r="8" spans="1:11">
      <c r="A8" s="972"/>
      <c r="B8" s="256" t="s">
        <v>856</v>
      </c>
      <c r="C8" s="770">
        <v>109288</v>
      </c>
      <c r="D8" s="729">
        <f>C8</f>
        <v>109288</v>
      </c>
      <c r="E8" s="739"/>
      <c r="F8" s="774" t="str">
        <f t="shared" si="2"/>
        <v>----</v>
      </c>
      <c r="G8" s="739"/>
      <c r="H8" s="774" t="str">
        <f t="shared" si="0"/>
        <v>----</v>
      </c>
      <c r="I8" s="734"/>
      <c r="J8" s="775" t="str">
        <f t="shared" si="1"/>
        <v>----</v>
      </c>
    </row>
    <row r="9" spans="1:11">
      <c r="A9" s="696">
        <v>45734</v>
      </c>
      <c r="B9" s="697" t="s">
        <v>857</v>
      </c>
      <c r="C9" s="374">
        <f>1/2*855770.56</f>
        <v>427885.28</v>
      </c>
      <c r="D9" s="560">
        <f>C9-1/2*20000</f>
        <v>417885.28</v>
      </c>
      <c r="E9" s="471"/>
      <c r="F9" s="472" t="str">
        <f t="shared" si="2"/>
        <v>----</v>
      </c>
      <c r="G9" s="471"/>
      <c r="H9" s="472" t="str">
        <f t="shared" si="0"/>
        <v>----</v>
      </c>
      <c r="I9" s="484"/>
      <c r="J9" s="445" t="str">
        <f t="shared" si="1"/>
        <v>----</v>
      </c>
      <c r="K9" s="780" t="s">
        <v>885</v>
      </c>
    </row>
    <row r="10" spans="1:11">
      <c r="A10" s="102"/>
      <c r="B10" s="256"/>
      <c r="C10" s="770"/>
      <c r="D10" s="729"/>
      <c r="E10" s="739"/>
      <c r="F10" s="774" t="str">
        <f t="shared" si="2"/>
        <v>----</v>
      </c>
      <c r="G10" s="739"/>
      <c r="H10" s="774" t="str">
        <f t="shared" si="0"/>
        <v>----</v>
      </c>
      <c r="I10" s="734"/>
      <c r="J10" s="775" t="str">
        <f t="shared" si="1"/>
        <v>----</v>
      </c>
    </row>
    <row r="11" spans="1:11">
      <c r="A11" s="102"/>
      <c r="B11" s="256"/>
      <c r="C11" s="770"/>
      <c r="D11" s="729"/>
      <c r="E11" s="739"/>
      <c r="F11" s="774" t="str">
        <f t="shared" si="2"/>
        <v>----</v>
      </c>
      <c r="G11" s="739"/>
      <c r="H11" s="774" t="str">
        <f t="shared" si="0"/>
        <v>----</v>
      </c>
      <c r="I11" s="734"/>
      <c r="J11" s="775" t="str">
        <f t="shared" si="1"/>
        <v>----</v>
      </c>
    </row>
    <row r="12" spans="1:11">
      <c r="A12" s="102"/>
      <c r="B12" s="256"/>
      <c r="C12" s="770"/>
      <c r="D12" s="729"/>
      <c r="E12" s="739"/>
      <c r="F12" s="774" t="str">
        <f t="shared" si="2"/>
        <v>----</v>
      </c>
      <c r="G12" s="739"/>
      <c r="H12" s="774" t="str">
        <f t="shared" si="0"/>
        <v>----</v>
      </c>
      <c r="I12" s="734"/>
      <c r="J12" s="775" t="str">
        <f t="shared" si="1"/>
        <v>----</v>
      </c>
    </row>
    <row r="13" spans="1:11">
      <c r="A13" s="102"/>
      <c r="B13" s="256"/>
      <c r="C13" s="770"/>
      <c r="D13" s="729"/>
      <c r="E13" s="739"/>
      <c r="F13" s="774" t="str">
        <f t="shared" si="2"/>
        <v>----</v>
      </c>
      <c r="G13" s="739"/>
      <c r="H13" s="774" t="str">
        <f t="shared" si="0"/>
        <v>----</v>
      </c>
      <c r="I13" s="734"/>
      <c r="J13" s="775" t="str">
        <f t="shared" si="1"/>
        <v>----</v>
      </c>
    </row>
    <row r="14" spans="1:11">
      <c r="A14" s="102"/>
      <c r="B14" s="256"/>
      <c r="C14" s="770"/>
      <c r="D14" s="729"/>
      <c r="E14" s="739"/>
      <c r="F14" s="774" t="str">
        <f t="shared" si="2"/>
        <v>----</v>
      </c>
      <c r="G14" s="739"/>
      <c r="H14" s="774" t="str">
        <f t="shared" si="0"/>
        <v>----</v>
      </c>
      <c r="I14" s="734"/>
      <c r="J14" s="775" t="str">
        <f t="shared" si="1"/>
        <v>----</v>
      </c>
    </row>
    <row r="15" spans="1:11">
      <c r="A15" s="102"/>
      <c r="B15" s="256"/>
      <c r="C15" s="770"/>
      <c r="D15" s="729"/>
      <c r="E15" s="739"/>
      <c r="F15" s="774" t="str">
        <f t="shared" si="2"/>
        <v>----</v>
      </c>
      <c r="G15" s="739"/>
      <c r="H15" s="774" t="str">
        <f t="shared" si="0"/>
        <v>----</v>
      </c>
      <c r="I15" s="734"/>
      <c r="J15" s="775" t="str">
        <f t="shared" si="1"/>
        <v>----</v>
      </c>
    </row>
    <row r="16" spans="1:11">
      <c r="A16" s="102"/>
      <c r="B16" s="256"/>
      <c r="C16" s="770"/>
      <c r="D16" s="729"/>
      <c r="E16" s="739"/>
      <c r="F16" s="774" t="str">
        <f t="shared" si="2"/>
        <v>----</v>
      </c>
      <c r="G16" s="739"/>
      <c r="H16" s="774" t="str">
        <f t="shared" si="0"/>
        <v>----</v>
      </c>
      <c r="I16" s="734"/>
      <c r="J16" s="775" t="str">
        <f t="shared" si="1"/>
        <v>----</v>
      </c>
    </row>
    <row r="17" spans="1:11">
      <c r="A17" s="102"/>
      <c r="B17" s="256"/>
      <c r="C17" s="770"/>
      <c r="D17" s="729"/>
      <c r="E17" s="739"/>
      <c r="F17" s="774" t="str">
        <f t="shared" si="2"/>
        <v>----</v>
      </c>
      <c r="G17" s="739"/>
      <c r="H17" s="774" t="str">
        <f t="shared" si="0"/>
        <v>----</v>
      </c>
      <c r="I17" s="734"/>
      <c r="J17" s="775" t="str">
        <f t="shared" si="1"/>
        <v>----</v>
      </c>
    </row>
    <row r="18" spans="1:11">
      <c r="A18" s="102"/>
      <c r="B18" s="256"/>
      <c r="C18" s="770"/>
      <c r="D18" s="729"/>
      <c r="E18" s="739"/>
      <c r="F18" s="774" t="str">
        <f t="shared" si="2"/>
        <v>----</v>
      </c>
      <c r="G18" s="739"/>
      <c r="H18" s="774" t="str">
        <f t="shared" si="0"/>
        <v>----</v>
      </c>
      <c r="I18" s="734"/>
      <c r="J18" s="775" t="str">
        <f t="shared" si="1"/>
        <v>----</v>
      </c>
    </row>
    <row r="19" spans="1:11">
      <c r="A19" s="102"/>
      <c r="B19" s="256"/>
      <c r="C19" s="770"/>
      <c r="D19" s="729"/>
      <c r="E19" s="739"/>
      <c r="F19" s="774" t="str">
        <f t="shared" si="2"/>
        <v>----</v>
      </c>
      <c r="G19" s="739"/>
      <c r="H19" s="774" t="str">
        <f t="shared" si="0"/>
        <v>----</v>
      </c>
      <c r="I19" s="734"/>
      <c r="J19" s="775" t="str">
        <f t="shared" si="1"/>
        <v>----</v>
      </c>
    </row>
    <row r="20" spans="1:11">
      <c r="A20" s="102"/>
      <c r="B20" s="256"/>
      <c r="C20" s="770"/>
      <c r="D20" s="729"/>
      <c r="E20" s="739"/>
      <c r="F20" s="774" t="str">
        <f t="shared" si="2"/>
        <v>----</v>
      </c>
      <c r="G20" s="739"/>
      <c r="H20" s="774" t="str">
        <f t="shared" si="0"/>
        <v>----</v>
      </c>
      <c r="I20" s="734"/>
      <c r="J20" s="775" t="str">
        <f t="shared" si="1"/>
        <v>----</v>
      </c>
    </row>
    <row r="21" spans="1:11">
      <c r="A21" s="116"/>
      <c r="B21" s="259"/>
      <c r="C21" s="773"/>
      <c r="D21" s="789"/>
      <c r="E21" s="740"/>
      <c r="F21" s="774" t="str">
        <f t="shared" si="2"/>
        <v>----</v>
      </c>
      <c r="G21" s="740"/>
      <c r="H21" s="774" t="str">
        <f t="shared" si="0"/>
        <v>----</v>
      </c>
      <c r="I21" s="735"/>
      <c r="J21" s="775" t="str">
        <f t="shared" si="1"/>
        <v>----</v>
      </c>
    </row>
    <row r="22" spans="1:11" ht="15.75" thickBot="1">
      <c r="A22" s="74"/>
      <c r="B22" s="75"/>
      <c r="C22" s="783"/>
      <c r="D22" s="790"/>
      <c r="E22" s="796"/>
      <c r="F22" s="801" t="str">
        <f t="shared" si="2"/>
        <v>----</v>
      </c>
      <c r="G22" s="796"/>
      <c r="H22" s="801" t="str">
        <f t="shared" si="0"/>
        <v>----</v>
      </c>
      <c r="I22" s="793"/>
      <c r="J22" s="802" t="str">
        <f t="shared" si="1"/>
        <v>----</v>
      </c>
    </row>
    <row r="23" spans="1:11" ht="15.75" thickBot="1">
      <c r="A23" s="27"/>
      <c r="B23" s="27"/>
      <c r="C23" s="814"/>
      <c r="D23" s="814"/>
      <c r="E23" s="814"/>
      <c r="F23" s="815">
        <f>SUM(F4:F22)</f>
        <v>-2513.7300000000396</v>
      </c>
      <c r="G23" s="814"/>
      <c r="H23" s="815">
        <f>SUM(H4:H22)</f>
        <v>0</v>
      </c>
      <c r="I23" s="814"/>
      <c r="J23" s="815">
        <f>SUM(J4:J22)</f>
        <v>0</v>
      </c>
      <c r="K23" s="17"/>
    </row>
  </sheetData>
  <mergeCells count="9">
    <mergeCell ref="A7:A8"/>
    <mergeCell ref="A1:J1"/>
    <mergeCell ref="E2:F2"/>
    <mergeCell ref="I2:J2"/>
    <mergeCell ref="A2:A3"/>
    <mergeCell ref="B2:B3"/>
    <mergeCell ref="C2:C3"/>
    <mergeCell ref="D2:D3"/>
    <mergeCell ref="G2:H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0C8A0-5927-4B25-ABC7-D844DC0206DE}">
  <dimension ref="A1:K25"/>
  <sheetViews>
    <sheetView workbookViewId="0">
      <selection activeCell="D16" sqref="D16"/>
    </sheetView>
  </sheetViews>
  <sheetFormatPr defaultRowHeight="15"/>
  <cols>
    <col min="2" max="2" width="30.7109375" bestFit="1" customWidth="1"/>
    <col min="3" max="4" width="12.28515625" bestFit="1" customWidth="1"/>
    <col min="5" max="5" width="12.5703125" style="432" bestFit="1" customWidth="1"/>
    <col min="6" max="6" width="9.85546875" style="432" bestFit="1" customWidth="1"/>
    <col min="7" max="7" width="12.5703125" style="432" bestFit="1" customWidth="1"/>
    <col min="8" max="8" width="9.85546875" style="432" bestFit="1" customWidth="1"/>
    <col min="9" max="9" width="12.5703125" bestFit="1" customWidth="1"/>
    <col min="10" max="10" width="9.85546875" bestFit="1" customWidth="1"/>
  </cols>
  <sheetData>
    <row r="1" spans="1:11" ht="15.75" thickBot="1">
      <c r="A1" s="952" t="s">
        <v>251</v>
      </c>
      <c r="B1" s="953"/>
      <c r="C1" s="953"/>
      <c r="D1" s="953"/>
      <c r="E1" s="953"/>
      <c r="F1" s="953"/>
      <c r="G1" s="953"/>
      <c r="H1" s="953"/>
      <c r="I1" s="953"/>
      <c r="J1" s="954"/>
    </row>
    <row r="2" spans="1:11" s="432" customFormat="1">
      <c r="A2" s="959" t="s">
        <v>110</v>
      </c>
      <c r="B2" s="961" t="s">
        <v>111</v>
      </c>
      <c r="C2" s="961" t="s">
        <v>112</v>
      </c>
      <c r="D2" s="963" t="s">
        <v>120</v>
      </c>
      <c r="E2" s="957" t="s">
        <v>701</v>
      </c>
      <c r="F2" s="958"/>
      <c r="G2" s="957" t="s">
        <v>702</v>
      </c>
      <c r="H2" s="958"/>
      <c r="I2" s="932" t="s">
        <v>796</v>
      </c>
      <c r="J2" s="933"/>
    </row>
    <row r="3" spans="1:11" ht="57.75" thickBot="1">
      <c r="A3" s="960"/>
      <c r="B3" s="962"/>
      <c r="C3" s="962"/>
      <c r="D3" s="964"/>
      <c r="E3" s="460" t="s">
        <v>121</v>
      </c>
      <c r="F3" s="468" t="s">
        <v>704</v>
      </c>
      <c r="G3" s="460" t="s">
        <v>121</v>
      </c>
      <c r="H3" s="468" t="s">
        <v>704</v>
      </c>
      <c r="I3" s="478" t="s">
        <v>121</v>
      </c>
      <c r="J3" s="25" t="s">
        <v>704</v>
      </c>
    </row>
    <row r="4" spans="1:11">
      <c r="A4" s="70">
        <v>44033</v>
      </c>
      <c r="B4" s="71" t="s">
        <v>297</v>
      </c>
      <c r="C4" s="781">
        <v>664562.31999999995</v>
      </c>
      <c r="D4" s="787">
        <f>C4</f>
        <v>664562.31999999995</v>
      </c>
      <c r="E4" s="794">
        <v>659636.07999999996</v>
      </c>
      <c r="F4" s="803">
        <f>IF(ISBLANK(E4),"----",E4-$D4)</f>
        <v>-4926.2399999999907</v>
      </c>
      <c r="G4" s="794" t="s">
        <v>703</v>
      </c>
      <c r="H4" s="803" t="str">
        <f t="shared" ref="H4:H24" si="0">IF(OR(G4="Complete",ISBLANK(G4)),"----",G4-$D4)</f>
        <v>----</v>
      </c>
      <c r="I4" s="791" t="s">
        <v>703</v>
      </c>
      <c r="J4" s="804" t="str">
        <f t="shared" ref="J4:J24" si="1">IF(OR(I4="Complete",ISBLANK(I4)),"----",I4-$D4)</f>
        <v>----</v>
      </c>
    </row>
    <row r="5" spans="1:11">
      <c r="A5" s="88">
        <v>44124</v>
      </c>
      <c r="B5" s="101" t="s">
        <v>309</v>
      </c>
      <c r="C5" s="784">
        <v>647329</v>
      </c>
      <c r="D5" s="788">
        <v>428849</v>
      </c>
      <c r="E5" s="795"/>
      <c r="F5" s="807" t="str">
        <f t="shared" ref="F5:F24" si="2">IF(ISBLANK(E5),"----",E5-$D5)</f>
        <v>----</v>
      </c>
      <c r="G5" s="795">
        <f>674323.68-218480</f>
        <v>455843.68000000005</v>
      </c>
      <c r="H5" s="807">
        <f t="shared" si="0"/>
        <v>26994.680000000051</v>
      </c>
      <c r="I5" s="792" t="s">
        <v>703</v>
      </c>
      <c r="J5" s="808" t="str">
        <f t="shared" si="1"/>
        <v>----</v>
      </c>
      <c r="K5" t="s">
        <v>806</v>
      </c>
    </row>
    <row r="6" spans="1:11">
      <c r="A6" s="102">
        <v>44306</v>
      </c>
      <c r="B6" s="103" t="s">
        <v>420</v>
      </c>
      <c r="C6" s="770">
        <v>621942.03</v>
      </c>
      <c r="D6" s="729">
        <f t="shared" ref="D6:D11" si="3">C6</f>
        <v>621942.03</v>
      </c>
      <c r="E6" s="739">
        <v>685979.82</v>
      </c>
      <c r="F6" s="771">
        <f t="shared" si="2"/>
        <v>64037.789999999921</v>
      </c>
      <c r="G6" s="739" t="s">
        <v>703</v>
      </c>
      <c r="H6" s="771" t="str">
        <f t="shared" si="0"/>
        <v>----</v>
      </c>
      <c r="I6" s="734" t="s">
        <v>703</v>
      </c>
      <c r="J6" s="772" t="str">
        <f t="shared" si="1"/>
        <v>----</v>
      </c>
    </row>
    <row r="7" spans="1:11">
      <c r="A7" s="102">
        <v>44733</v>
      </c>
      <c r="B7" s="103" t="s">
        <v>535</v>
      </c>
      <c r="C7" s="770">
        <v>443631.64</v>
      </c>
      <c r="D7" s="729">
        <f t="shared" si="3"/>
        <v>443631.64</v>
      </c>
      <c r="E7" s="812"/>
      <c r="F7" s="771" t="str">
        <f t="shared" si="2"/>
        <v>----</v>
      </c>
      <c r="G7" s="812"/>
      <c r="H7" s="771" t="str">
        <f t="shared" si="0"/>
        <v>----</v>
      </c>
      <c r="I7" s="813"/>
      <c r="J7" s="772" t="str">
        <f t="shared" si="1"/>
        <v>----</v>
      </c>
    </row>
    <row r="8" spans="1:11">
      <c r="A8" s="102">
        <v>44774</v>
      </c>
      <c r="B8" s="103" t="s">
        <v>534</v>
      </c>
      <c r="C8" s="770">
        <v>-1500000</v>
      </c>
      <c r="D8" s="729">
        <f t="shared" si="3"/>
        <v>-1500000</v>
      </c>
      <c r="E8" s="812">
        <v>-1500000</v>
      </c>
      <c r="F8" s="771">
        <f t="shared" si="2"/>
        <v>0</v>
      </c>
      <c r="G8" s="812" t="s">
        <v>703</v>
      </c>
      <c r="H8" s="771" t="str">
        <f t="shared" si="0"/>
        <v>----</v>
      </c>
      <c r="I8" s="813" t="s">
        <v>703</v>
      </c>
      <c r="J8" s="772" t="str">
        <f t="shared" si="1"/>
        <v>----</v>
      </c>
    </row>
    <row r="9" spans="1:11">
      <c r="A9" s="102">
        <v>44789</v>
      </c>
      <c r="B9" s="103" t="s">
        <v>552</v>
      </c>
      <c r="C9" s="770">
        <v>485482.5</v>
      </c>
      <c r="D9" s="729">
        <f t="shared" si="3"/>
        <v>485482.5</v>
      </c>
      <c r="E9" s="739"/>
      <c r="F9" s="771" t="str">
        <f t="shared" si="2"/>
        <v>----</v>
      </c>
      <c r="G9" s="739"/>
      <c r="H9" s="771" t="str">
        <f t="shared" si="0"/>
        <v>----</v>
      </c>
      <c r="I9" s="734"/>
      <c r="J9" s="772" t="str">
        <f t="shared" si="1"/>
        <v>----</v>
      </c>
    </row>
    <row r="10" spans="1:11">
      <c r="A10" s="102">
        <v>44880</v>
      </c>
      <c r="B10" s="103" t="s">
        <v>586</v>
      </c>
      <c r="C10" s="770">
        <v>1073365.94</v>
      </c>
      <c r="D10" s="729">
        <f t="shared" si="3"/>
        <v>1073365.94</v>
      </c>
      <c r="E10" s="739"/>
      <c r="F10" s="771" t="str">
        <f t="shared" si="2"/>
        <v>----</v>
      </c>
      <c r="G10" s="739"/>
      <c r="H10" s="771" t="str">
        <f t="shared" si="0"/>
        <v>----</v>
      </c>
      <c r="I10" s="734"/>
      <c r="J10" s="772" t="str">
        <f t="shared" si="1"/>
        <v>----</v>
      </c>
    </row>
    <row r="11" spans="1:11">
      <c r="A11" s="102">
        <v>44880</v>
      </c>
      <c r="B11" s="103" t="s">
        <v>587</v>
      </c>
      <c r="C11" s="770">
        <v>1175531.25</v>
      </c>
      <c r="D11" s="729">
        <f t="shared" si="3"/>
        <v>1175531.25</v>
      </c>
      <c r="E11" s="739"/>
      <c r="F11" s="771" t="str">
        <f t="shared" si="2"/>
        <v>----</v>
      </c>
      <c r="G11" s="739"/>
      <c r="H11" s="771" t="str">
        <f t="shared" si="0"/>
        <v>----</v>
      </c>
      <c r="I11" s="734"/>
      <c r="J11" s="772" t="str">
        <f t="shared" si="1"/>
        <v>----</v>
      </c>
    </row>
    <row r="12" spans="1:11">
      <c r="A12" s="102">
        <v>44944</v>
      </c>
      <c r="B12" s="103" t="s">
        <v>624</v>
      </c>
      <c r="C12" s="770">
        <v>1861848.2</v>
      </c>
      <c r="D12" s="729">
        <f>C12</f>
        <v>1861848.2</v>
      </c>
      <c r="E12" s="739"/>
      <c r="F12" s="771" t="str">
        <f t="shared" si="2"/>
        <v>----</v>
      </c>
      <c r="G12" s="739"/>
      <c r="H12" s="771" t="str">
        <f t="shared" si="0"/>
        <v>----</v>
      </c>
      <c r="I12" s="734"/>
      <c r="J12" s="772" t="str">
        <f t="shared" si="1"/>
        <v>----</v>
      </c>
    </row>
    <row r="13" spans="1:11">
      <c r="A13" s="102">
        <v>45679</v>
      </c>
      <c r="B13" s="721" t="s">
        <v>815</v>
      </c>
      <c r="C13" s="770">
        <v>632717.75</v>
      </c>
      <c r="D13" s="729">
        <f>C13</f>
        <v>632717.75</v>
      </c>
      <c r="E13" s="739"/>
      <c r="F13" s="771" t="str">
        <f t="shared" si="2"/>
        <v>----</v>
      </c>
      <c r="G13" s="739"/>
      <c r="H13" s="771" t="str">
        <f t="shared" si="0"/>
        <v>----</v>
      </c>
      <c r="I13" s="734"/>
      <c r="J13" s="772" t="str">
        <f t="shared" si="1"/>
        <v>----</v>
      </c>
    </row>
    <row r="14" spans="1:11">
      <c r="A14" s="102">
        <v>45679</v>
      </c>
      <c r="B14" s="721" t="s">
        <v>816</v>
      </c>
      <c r="C14" s="770">
        <v>432358.5</v>
      </c>
      <c r="D14" s="729">
        <f>C14</f>
        <v>432358.5</v>
      </c>
      <c r="E14" s="739"/>
      <c r="F14" s="771" t="str">
        <f t="shared" si="2"/>
        <v>----</v>
      </c>
      <c r="G14" s="739"/>
      <c r="H14" s="771" t="str">
        <f t="shared" si="0"/>
        <v>----</v>
      </c>
      <c r="I14" s="734"/>
      <c r="J14" s="772" t="str">
        <f t="shared" si="1"/>
        <v>----</v>
      </c>
    </row>
    <row r="15" spans="1:11">
      <c r="A15" s="102">
        <v>45825</v>
      </c>
      <c r="B15" s="721" t="s">
        <v>879</v>
      </c>
      <c r="C15" s="770">
        <v>837106.1</v>
      </c>
      <c r="D15" s="729">
        <f>C15</f>
        <v>837106.1</v>
      </c>
      <c r="E15" s="739"/>
      <c r="F15" s="771" t="str">
        <f t="shared" si="2"/>
        <v>----</v>
      </c>
      <c r="G15" s="739"/>
      <c r="H15" s="771" t="str">
        <f t="shared" si="0"/>
        <v>----</v>
      </c>
      <c r="I15" s="734"/>
      <c r="J15" s="772" t="str">
        <f t="shared" si="1"/>
        <v>----</v>
      </c>
    </row>
    <row r="16" spans="1:11">
      <c r="A16" s="102"/>
      <c r="B16" s="103"/>
      <c r="C16" s="770"/>
      <c r="D16" s="729"/>
      <c r="E16" s="739"/>
      <c r="F16" s="771" t="str">
        <f t="shared" si="2"/>
        <v>----</v>
      </c>
      <c r="G16" s="739"/>
      <c r="H16" s="771" t="str">
        <f t="shared" si="0"/>
        <v>----</v>
      </c>
      <c r="I16" s="734"/>
      <c r="J16" s="772" t="str">
        <f t="shared" si="1"/>
        <v>----</v>
      </c>
    </row>
    <row r="17" spans="1:10">
      <c r="A17" s="102"/>
      <c r="B17" s="103"/>
      <c r="C17" s="770"/>
      <c r="D17" s="729"/>
      <c r="E17" s="739"/>
      <c r="F17" s="771" t="str">
        <f t="shared" si="2"/>
        <v>----</v>
      </c>
      <c r="G17" s="739"/>
      <c r="H17" s="771" t="str">
        <f t="shared" si="0"/>
        <v>----</v>
      </c>
      <c r="I17" s="734"/>
      <c r="J17" s="772" t="str">
        <f t="shared" si="1"/>
        <v>----</v>
      </c>
    </row>
    <row r="18" spans="1:10">
      <c r="A18" s="102"/>
      <c r="B18" s="103"/>
      <c r="C18" s="770"/>
      <c r="D18" s="729"/>
      <c r="E18" s="739"/>
      <c r="F18" s="771" t="str">
        <f t="shared" si="2"/>
        <v>----</v>
      </c>
      <c r="G18" s="739"/>
      <c r="H18" s="771" t="str">
        <f t="shared" si="0"/>
        <v>----</v>
      </c>
      <c r="I18" s="734"/>
      <c r="J18" s="772" t="str">
        <f t="shared" si="1"/>
        <v>----</v>
      </c>
    </row>
    <row r="19" spans="1:10">
      <c r="A19" s="102"/>
      <c r="B19" s="103"/>
      <c r="C19" s="770"/>
      <c r="D19" s="729"/>
      <c r="E19" s="739"/>
      <c r="F19" s="771" t="str">
        <f t="shared" si="2"/>
        <v>----</v>
      </c>
      <c r="G19" s="739"/>
      <c r="H19" s="771" t="str">
        <f t="shared" si="0"/>
        <v>----</v>
      </c>
      <c r="I19" s="734"/>
      <c r="J19" s="772" t="str">
        <f t="shared" si="1"/>
        <v>----</v>
      </c>
    </row>
    <row r="20" spans="1:10">
      <c r="A20" s="102"/>
      <c r="B20" s="103"/>
      <c r="C20" s="770"/>
      <c r="D20" s="729"/>
      <c r="E20" s="739"/>
      <c r="F20" s="771" t="str">
        <f t="shared" si="2"/>
        <v>----</v>
      </c>
      <c r="G20" s="739"/>
      <c r="H20" s="771" t="str">
        <f t="shared" si="0"/>
        <v>----</v>
      </c>
      <c r="I20" s="734"/>
      <c r="J20" s="772" t="str">
        <f t="shared" si="1"/>
        <v>----</v>
      </c>
    </row>
    <row r="21" spans="1:10">
      <c r="A21" s="102"/>
      <c r="B21" s="103"/>
      <c r="C21" s="770"/>
      <c r="D21" s="729"/>
      <c r="E21" s="739"/>
      <c r="F21" s="771" t="str">
        <f t="shared" si="2"/>
        <v>----</v>
      </c>
      <c r="G21" s="739"/>
      <c r="H21" s="771" t="str">
        <f t="shared" si="0"/>
        <v>----</v>
      </c>
      <c r="I21" s="734"/>
      <c r="J21" s="772" t="str">
        <f t="shared" si="1"/>
        <v>----</v>
      </c>
    </row>
    <row r="22" spans="1:10">
      <c r="A22" s="102"/>
      <c r="B22" s="103"/>
      <c r="C22" s="770"/>
      <c r="D22" s="729"/>
      <c r="E22" s="739"/>
      <c r="F22" s="771" t="str">
        <f t="shared" si="2"/>
        <v>----</v>
      </c>
      <c r="G22" s="739"/>
      <c r="H22" s="771" t="str">
        <f t="shared" si="0"/>
        <v>----</v>
      </c>
      <c r="I22" s="734"/>
      <c r="J22" s="772" t="str">
        <f t="shared" si="1"/>
        <v>----</v>
      </c>
    </row>
    <row r="23" spans="1:10">
      <c r="A23" s="116"/>
      <c r="B23" s="117"/>
      <c r="C23" s="773"/>
      <c r="D23" s="789"/>
      <c r="E23" s="740"/>
      <c r="F23" s="774" t="str">
        <f t="shared" si="2"/>
        <v>----</v>
      </c>
      <c r="G23" s="740"/>
      <c r="H23" s="774" t="str">
        <f t="shared" si="0"/>
        <v>----</v>
      </c>
      <c r="I23" s="735"/>
      <c r="J23" s="775" t="str">
        <f t="shared" si="1"/>
        <v>----</v>
      </c>
    </row>
    <row r="24" spans="1:10" ht="15.75" thickBot="1">
      <c r="A24" s="74"/>
      <c r="B24" s="75"/>
      <c r="C24" s="783"/>
      <c r="D24" s="790"/>
      <c r="E24" s="796"/>
      <c r="F24" s="801" t="str">
        <f t="shared" si="2"/>
        <v>----</v>
      </c>
      <c r="G24" s="796"/>
      <c r="H24" s="801" t="str">
        <f t="shared" si="0"/>
        <v>----</v>
      </c>
      <c r="I24" s="793"/>
      <c r="J24" s="802" t="str">
        <f t="shared" si="1"/>
        <v>----</v>
      </c>
    </row>
    <row r="25" spans="1:10" ht="15.75" thickBot="1">
      <c r="A25" s="27"/>
      <c r="B25" s="27"/>
      <c r="C25" s="814"/>
      <c r="D25" s="814"/>
      <c r="E25" s="814"/>
      <c r="F25" s="815">
        <f>SUM(F4:F24)</f>
        <v>59111.54999999993</v>
      </c>
      <c r="G25" s="814"/>
      <c r="H25" s="815">
        <f>SUM(H4:H24)</f>
        <v>26994.680000000051</v>
      </c>
      <c r="I25" s="814"/>
      <c r="J25" s="815">
        <f>SUM(J4:J24)</f>
        <v>0</v>
      </c>
    </row>
  </sheetData>
  <mergeCells count="8">
    <mergeCell ref="A1:J1"/>
    <mergeCell ref="A2:A3"/>
    <mergeCell ref="B2:B3"/>
    <mergeCell ref="C2:C3"/>
    <mergeCell ref="D2:D3"/>
    <mergeCell ref="E2:F2"/>
    <mergeCell ref="I2:J2"/>
    <mergeCell ref="G2:H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A02CC-8E07-490D-B573-1A86DA70AE76}">
  <dimension ref="A1:J23"/>
  <sheetViews>
    <sheetView workbookViewId="0">
      <selection activeCell="H14" sqref="H14"/>
    </sheetView>
  </sheetViews>
  <sheetFormatPr defaultRowHeight="15"/>
  <cols>
    <col min="2" max="2" width="23.7109375" bestFit="1" customWidth="1"/>
    <col min="3" max="3" width="10.7109375" bestFit="1" customWidth="1"/>
    <col min="4" max="4" width="11" customWidth="1"/>
    <col min="5" max="5" width="11" style="432" customWidth="1"/>
    <col min="6" max="6" width="11.7109375" style="432" customWidth="1"/>
    <col min="7" max="7" width="11" style="432" customWidth="1"/>
    <col min="8" max="8" width="11.7109375" style="432" customWidth="1"/>
    <col min="9" max="9" width="11" customWidth="1"/>
    <col min="10" max="10" width="11.7109375" customWidth="1"/>
  </cols>
  <sheetData>
    <row r="1" spans="1:10" ht="15.75" thickBot="1">
      <c r="A1" s="952" t="s">
        <v>214</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57.75" thickBot="1">
      <c r="A3" s="960"/>
      <c r="B3" s="962"/>
      <c r="C3" s="962"/>
      <c r="D3" s="974"/>
      <c r="E3" s="460" t="s">
        <v>121</v>
      </c>
      <c r="F3" s="468" t="s">
        <v>704</v>
      </c>
      <c r="G3" s="460" t="s">
        <v>121</v>
      </c>
      <c r="H3" s="468" t="s">
        <v>704</v>
      </c>
      <c r="I3" s="478" t="s">
        <v>121</v>
      </c>
      <c r="J3" s="25" t="s">
        <v>704</v>
      </c>
    </row>
    <row r="4" spans="1:10">
      <c r="A4" s="70">
        <v>43879</v>
      </c>
      <c r="B4" s="71" t="s">
        <v>393</v>
      </c>
      <c r="C4" s="781">
        <v>487980.01</v>
      </c>
      <c r="D4" s="787">
        <f>C4</f>
        <v>487980.01</v>
      </c>
      <c r="E4" s="794">
        <v>488409.51</v>
      </c>
      <c r="F4" s="803">
        <f>IF(ISBLANK(E4),"----",E4-$D4)</f>
        <v>429.5</v>
      </c>
      <c r="G4" s="794" t="s">
        <v>703</v>
      </c>
      <c r="H4" s="803" t="str">
        <f t="shared" ref="H4:H21" si="0">IF(OR(G4="Complete",ISBLANK(G4)),"----",G4-$D4)</f>
        <v>----</v>
      </c>
      <c r="I4" s="791" t="s">
        <v>703</v>
      </c>
      <c r="J4" s="804" t="str">
        <f t="shared" ref="J4:J21" si="1">IF(OR(I4="Complete",ISBLANK(I4)),"----",I4-$D4)</f>
        <v>----</v>
      </c>
    </row>
    <row r="5" spans="1:10">
      <c r="A5" s="102">
        <v>44089</v>
      </c>
      <c r="B5" s="103" t="s">
        <v>581</v>
      </c>
      <c r="C5" s="770">
        <v>818168.13</v>
      </c>
      <c r="D5" s="729">
        <v>353898.12</v>
      </c>
      <c r="E5" s="739">
        <v>357667.43</v>
      </c>
      <c r="F5" s="807">
        <f t="shared" ref="F5:F21" si="2">IF(ISBLANK(E5),"----",E5-$D5)</f>
        <v>3769.3099999999977</v>
      </c>
      <c r="G5" s="739" t="s">
        <v>703</v>
      </c>
      <c r="H5" s="807" t="str">
        <f t="shared" si="0"/>
        <v>----</v>
      </c>
      <c r="I5" s="734" t="s">
        <v>703</v>
      </c>
      <c r="J5" s="808" t="str">
        <f t="shared" si="1"/>
        <v>----</v>
      </c>
    </row>
    <row r="6" spans="1:10">
      <c r="A6" s="88">
        <v>44243</v>
      </c>
      <c r="B6" s="101" t="s">
        <v>392</v>
      </c>
      <c r="C6" s="784">
        <v>629906.27</v>
      </c>
      <c r="D6" s="788">
        <f>C6</f>
        <v>629906.27</v>
      </c>
      <c r="E6" s="795">
        <v>665581.79</v>
      </c>
      <c r="F6" s="807">
        <f t="shared" si="2"/>
        <v>35675.520000000019</v>
      </c>
      <c r="G6" s="795" t="s">
        <v>703</v>
      </c>
      <c r="H6" s="807" t="str">
        <f t="shared" si="0"/>
        <v>----</v>
      </c>
      <c r="I6" s="792" t="s">
        <v>703</v>
      </c>
      <c r="J6" s="808" t="str">
        <f t="shared" si="1"/>
        <v>----</v>
      </c>
    </row>
    <row r="7" spans="1:10">
      <c r="A7" s="102">
        <v>44880</v>
      </c>
      <c r="B7" s="103" t="s">
        <v>588</v>
      </c>
      <c r="C7" s="770">
        <v>503343.15</v>
      </c>
      <c r="D7" s="729">
        <f>C7</f>
        <v>503343.15</v>
      </c>
      <c r="E7" s="739">
        <v>512828.15999999997</v>
      </c>
      <c r="F7" s="807">
        <f t="shared" si="2"/>
        <v>9485.0099999999511</v>
      </c>
      <c r="G7" s="739" t="s">
        <v>703</v>
      </c>
      <c r="H7" s="807" t="str">
        <f t="shared" si="0"/>
        <v>----</v>
      </c>
      <c r="I7" s="734" t="s">
        <v>703</v>
      </c>
      <c r="J7" s="808" t="str">
        <f t="shared" si="1"/>
        <v>----</v>
      </c>
    </row>
    <row r="8" spans="1:10">
      <c r="A8" s="102">
        <v>44915</v>
      </c>
      <c r="B8" s="103" t="s">
        <v>603</v>
      </c>
      <c r="C8" s="770">
        <v>882111.3</v>
      </c>
      <c r="D8" s="729">
        <f>C8</f>
        <v>882111.3</v>
      </c>
      <c r="E8" s="739"/>
      <c r="F8" s="807" t="str">
        <f t="shared" si="2"/>
        <v>----</v>
      </c>
      <c r="G8" s="739">
        <v>879803.49</v>
      </c>
      <c r="H8" s="807">
        <f t="shared" si="0"/>
        <v>-2307.8100000000559</v>
      </c>
      <c r="I8" s="734" t="s">
        <v>703</v>
      </c>
      <c r="J8" s="808" t="str">
        <f t="shared" si="1"/>
        <v>----</v>
      </c>
    </row>
    <row r="9" spans="1:10">
      <c r="A9" s="102">
        <v>45308</v>
      </c>
      <c r="B9" s="103" t="s">
        <v>716</v>
      </c>
      <c r="C9" s="770">
        <v>588907.06000000006</v>
      </c>
      <c r="D9" s="729">
        <f>C9</f>
        <v>588907.06000000006</v>
      </c>
      <c r="E9" s="739"/>
      <c r="F9" s="807" t="str">
        <f t="shared" si="2"/>
        <v>----</v>
      </c>
      <c r="G9" s="739"/>
      <c r="H9" s="807" t="str">
        <f t="shared" si="0"/>
        <v>----</v>
      </c>
      <c r="I9" s="734"/>
      <c r="J9" s="808" t="str">
        <f t="shared" si="1"/>
        <v>----</v>
      </c>
    </row>
    <row r="10" spans="1:10">
      <c r="A10" s="102">
        <v>45679</v>
      </c>
      <c r="B10" s="721" t="s">
        <v>822</v>
      </c>
      <c r="C10" s="770">
        <v>677380.07</v>
      </c>
      <c r="D10" s="729">
        <f>C10</f>
        <v>677380.07</v>
      </c>
      <c r="E10" s="739"/>
      <c r="F10" s="807" t="str">
        <f t="shared" si="2"/>
        <v>----</v>
      </c>
      <c r="G10" s="739"/>
      <c r="H10" s="807" t="str">
        <f t="shared" si="0"/>
        <v>----</v>
      </c>
      <c r="I10" s="734"/>
      <c r="J10" s="808" t="str">
        <f t="shared" si="1"/>
        <v>----</v>
      </c>
    </row>
    <row r="11" spans="1:10">
      <c r="A11" s="102"/>
      <c r="B11" s="103"/>
      <c r="C11" s="770"/>
      <c r="D11" s="729"/>
      <c r="E11" s="739"/>
      <c r="F11" s="807" t="str">
        <f t="shared" si="2"/>
        <v>----</v>
      </c>
      <c r="G11" s="739"/>
      <c r="H11" s="807" t="str">
        <f t="shared" si="0"/>
        <v>----</v>
      </c>
      <c r="I11" s="734"/>
      <c r="J11" s="808" t="str">
        <f t="shared" si="1"/>
        <v>----</v>
      </c>
    </row>
    <row r="12" spans="1:10">
      <c r="A12" s="102"/>
      <c r="B12" s="103"/>
      <c r="C12" s="770"/>
      <c r="D12" s="729"/>
      <c r="E12" s="739"/>
      <c r="F12" s="807" t="str">
        <f t="shared" si="2"/>
        <v>----</v>
      </c>
      <c r="G12" s="739"/>
      <c r="H12" s="807" t="str">
        <f t="shared" si="0"/>
        <v>----</v>
      </c>
      <c r="I12" s="734"/>
      <c r="J12" s="808" t="str">
        <f t="shared" si="1"/>
        <v>----</v>
      </c>
    </row>
    <row r="13" spans="1:10">
      <c r="A13" s="102"/>
      <c r="B13" s="103"/>
      <c r="C13" s="770"/>
      <c r="D13" s="729"/>
      <c r="E13" s="739"/>
      <c r="F13" s="807" t="str">
        <f t="shared" si="2"/>
        <v>----</v>
      </c>
      <c r="G13" s="739"/>
      <c r="H13" s="807" t="str">
        <f t="shared" si="0"/>
        <v>----</v>
      </c>
      <c r="I13" s="734"/>
      <c r="J13" s="808" t="str">
        <f t="shared" si="1"/>
        <v>----</v>
      </c>
    </row>
    <row r="14" spans="1:10">
      <c r="A14" s="102"/>
      <c r="B14" s="103"/>
      <c r="C14" s="770"/>
      <c r="D14" s="729"/>
      <c r="E14" s="739"/>
      <c r="F14" s="807" t="str">
        <f t="shared" si="2"/>
        <v>----</v>
      </c>
      <c r="G14" s="739"/>
      <c r="H14" s="807" t="str">
        <f t="shared" si="0"/>
        <v>----</v>
      </c>
      <c r="I14" s="734"/>
      <c r="J14" s="808" t="str">
        <f t="shared" si="1"/>
        <v>----</v>
      </c>
    </row>
    <row r="15" spans="1:10">
      <c r="A15" s="102"/>
      <c r="B15" s="103"/>
      <c r="C15" s="770"/>
      <c r="D15" s="729"/>
      <c r="E15" s="739"/>
      <c r="F15" s="807" t="str">
        <f t="shared" si="2"/>
        <v>----</v>
      </c>
      <c r="G15" s="739"/>
      <c r="H15" s="807" t="str">
        <f t="shared" si="0"/>
        <v>----</v>
      </c>
      <c r="I15" s="734"/>
      <c r="J15" s="808" t="str">
        <f t="shared" si="1"/>
        <v>----</v>
      </c>
    </row>
    <row r="16" spans="1:10">
      <c r="A16" s="102"/>
      <c r="B16" s="103"/>
      <c r="C16" s="770"/>
      <c r="D16" s="729"/>
      <c r="E16" s="739"/>
      <c r="F16" s="807" t="str">
        <f t="shared" si="2"/>
        <v>----</v>
      </c>
      <c r="G16" s="739"/>
      <c r="H16" s="807" t="str">
        <f t="shared" si="0"/>
        <v>----</v>
      </c>
      <c r="I16" s="734"/>
      <c r="J16" s="808" t="str">
        <f t="shared" si="1"/>
        <v>----</v>
      </c>
    </row>
    <row r="17" spans="1:10">
      <c r="A17" s="102"/>
      <c r="B17" s="103"/>
      <c r="C17" s="770"/>
      <c r="D17" s="729"/>
      <c r="E17" s="739"/>
      <c r="F17" s="807" t="str">
        <f t="shared" si="2"/>
        <v>----</v>
      </c>
      <c r="G17" s="739"/>
      <c r="H17" s="807" t="str">
        <f t="shared" si="0"/>
        <v>----</v>
      </c>
      <c r="I17" s="734"/>
      <c r="J17" s="808" t="str">
        <f t="shared" si="1"/>
        <v>----</v>
      </c>
    </row>
    <row r="18" spans="1:10">
      <c r="A18" s="102"/>
      <c r="B18" s="103"/>
      <c r="C18" s="770"/>
      <c r="D18" s="729"/>
      <c r="E18" s="739"/>
      <c r="F18" s="807" t="str">
        <f t="shared" si="2"/>
        <v>----</v>
      </c>
      <c r="G18" s="739"/>
      <c r="H18" s="807" t="str">
        <f t="shared" si="0"/>
        <v>----</v>
      </c>
      <c r="I18" s="734"/>
      <c r="J18" s="808" t="str">
        <f t="shared" si="1"/>
        <v>----</v>
      </c>
    </row>
    <row r="19" spans="1:10">
      <c r="A19" s="102"/>
      <c r="B19" s="103"/>
      <c r="C19" s="770"/>
      <c r="D19" s="729"/>
      <c r="E19" s="739"/>
      <c r="F19" s="807" t="str">
        <f t="shared" si="2"/>
        <v>----</v>
      </c>
      <c r="G19" s="739"/>
      <c r="H19" s="807" t="str">
        <f t="shared" si="0"/>
        <v>----</v>
      </c>
      <c r="I19" s="734"/>
      <c r="J19" s="808" t="str">
        <f t="shared" si="1"/>
        <v>----</v>
      </c>
    </row>
    <row r="20" spans="1:10">
      <c r="A20" s="116"/>
      <c r="B20" s="117"/>
      <c r="C20" s="773"/>
      <c r="D20" s="789"/>
      <c r="E20" s="740"/>
      <c r="F20" s="807" t="str">
        <f t="shared" si="2"/>
        <v>----</v>
      </c>
      <c r="G20" s="740"/>
      <c r="H20" s="807" t="str">
        <f t="shared" si="0"/>
        <v>----</v>
      </c>
      <c r="I20" s="735"/>
      <c r="J20" s="808" t="str">
        <f t="shared" si="1"/>
        <v>----</v>
      </c>
    </row>
    <row r="21" spans="1:10" ht="15.75" thickBot="1">
      <c r="A21" s="74"/>
      <c r="B21" s="75"/>
      <c r="C21" s="783"/>
      <c r="D21" s="790"/>
      <c r="E21" s="796"/>
      <c r="F21" s="801" t="str">
        <f t="shared" si="2"/>
        <v>----</v>
      </c>
      <c r="G21" s="796"/>
      <c r="H21" s="801" t="str">
        <f t="shared" si="0"/>
        <v>----</v>
      </c>
      <c r="I21" s="793"/>
      <c r="J21" s="802" t="str">
        <f t="shared" si="1"/>
        <v>----</v>
      </c>
    </row>
    <row r="22" spans="1:10" ht="15.75" thickBot="1">
      <c r="A22" s="27"/>
      <c r="B22" s="27"/>
      <c r="C22" s="814"/>
      <c r="D22" s="814"/>
      <c r="E22" s="814"/>
      <c r="F22" s="815">
        <f>SUM(F4:F21)</f>
        <v>49359.339999999967</v>
      </c>
      <c r="G22" s="814"/>
      <c r="H22" s="815">
        <f>SUM(H4:H21)</f>
        <v>-2307.8100000000559</v>
      </c>
      <c r="I22" s="814"/>
      <c r="J22" s="815">
        <f>SUM(J4:J21)</f>
        <v>0</v>
      </c>
    </row>
    <row r="23" spans="1:10">
      <c r="C23" s="719"/>
      <c r="D23" s="719"/>
      <c r="E23" s="719"/>
      <c r="F23" s="719"/>
      <c r="G23" s="719"/>
      <c r="H23" s="719"/>
      <c r="I23" s="719"/>
      <c r="J23" s="719"/>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3"/>
  <sheetViews>
    <sheetView zoomScaleNormal="100" workbookViewId="0">
      <selection activeCell="A16" sqref="A16:XFD16"/>
    </sheetView>
  </sheetViews>
  <sheetFormatPr defaultRowHeight="15"/>
  <cols>
    <col min="1" max="1" width="63.7109375" customWidth="1"/>
    <col min="2" max="2" width="15.28515625" style="4" customWidth="1"/>
    <col min="3" max="3" width="19.5703125" customWidth="1"/>
    <col min="4" max="4" width="16" customWidth="1"/>
    <col min="5" max="5" width="6.85546875" customWidth="1"/>
    <col min="6" max="6" width="15.28515625" customWidth="1"/>
    <col min="7" max="7" width="17.28515625" customWidth="1"/>
    <col min="8" max="8" width="18.28515625" customWidth="1"/>
    <col min="9" max="9" width="15.7109375" customWidth="1"/>
  </cols>
  <sheetData>
    <row r="1" spans="1:27" ht="15.75" thickBot="1">
      <c r="A1" s="1" t="s">
        <v>786</v>
      </c>
      <c r="B1" s="3"/>
      <c r="C1" s="1"/>
      <c r="D1" s="1"/>
      <c r="E1" s="1"/>
      <c r="F1" s="1"/>
      <c r="G1" s="1"/>
      <c r="H1" s="1"/>
      <c r="I1" s="1"/>
      <c r="J1" s="1"/>
      <c r="K1" s="1"/>
      <c r="L1" s="1"/>
      <c r="M1" s="1"/>
      <c r="N1" s="1"/>
      <c r="O1" s="1"/>
      <c r="P1" s="1"/>
      <c r="Q1" s="1"/>
      <c r="R1" s="1"/>
      <c r="S1" s="1"/>
      <c r="T1" s="1"/>
      <c r="U1" s="1"/>
      <c r="V1" s="1"/>
      <c r="W1" s="1"/>
      <c r="X1" s="1"/>
      <c r="Y1" s="1"/>
      <c r="Z1" s="1"/>
      <c r="AA1" s="1"/>
    </row>
    <row r="2" spans="1:27">
      <c r="B2" s="931" t="s">
        <v>558</v>
      </c>
      <c r="C2" s="932"/>
      <c r="D2" s="933"/>
      <c r="E2" s="134"/>
      <c r="F2" s="290" t="s">
        <v>549</v>
      </c>
      <c r="G2" s="283"/>
      <c r="H2" s="283"/>
    </row>
    <row r="3" spans="1:27">
      <c r="B3" s="296">
        <v>4030719</v>
      </c>
      <c r="C3" s="934" t="s">
        <v>559</v>
      </c>
      <c r="D3" s="935"/>
      <c r="E3" s="301"/>
      <c r="F3" s="294">
        <v>97705648</v>
      </c>
      <c r="G3" s="283"/>
      <c r="H3" s="283"/>
    </row>
    <row r="4" spans="1:27" ht="15.75" thickBot="1">
      <c r="B4" s="296">
        <v>3250000</v>
      </c>
      <c r="C4" s="934" t="s">
        <v>572</v>
      </c>
      <c r="D4" s="935"/>
      <c r="E4" s="301"/>
      <c r="F4" s="291"/>
      <c r="G4" s="283"/>
      <c r="H4" s="939" t="s">
        <v>562</v>
      </c>
      <c r="I4" s="939"/>
      <c r="J4" s="939"/>
      <c r="K4" s="939"/>
    </row>
    <row r="5" spans="1:27" ht="15.75" thickBot="1">
      <c r="B5" s="298">
        <f>B3+B4</f>
        <v>7280719</v>
      </c>
      <c r="C5" s="943" t="s">
        <v>561</v>
      </c>
      <c r="D5" s="944"/>
      <c r="E5" s="301"/>
      <c r="F5" s="290" t="s">
        <v>550</v>
      </c>
      <c r="G5" s="283"/>
      <c r="H5" s="937" t="s">
        <v>558</v>
      </c>
      <c r="I5" s="938"/>
    </row>
    <row r="6" spans="1:27">
      <c r="F6" s="293">
        <f>ROUND(36491438*0.2,0)</f>
        <v>7298288</v>
      </c>
      <c r="G6" s="292"/>
      <c r="H6" s="296">
        <v>4030719</v>
      </c>
      <c r="I6" s="297" t="s">
        <v>559</v>
      </c>
    </row>
    <row r="7" spans="1:27">
      <c r="A7" s="273" t="s">
        <v>521</v>
      </c>
      <c r="B7" s="280" t="s">
        <v>0</v>
      </c>
      <c r="C7" s="281" t="s">
        <v>522</v>
      </c>
      <c r="H7" s="296">
        <v>3250000</v>
      </c>
      <c r="I7" s="297" t="s">
        <v>560</v>
      </c>
    </row>
    <row r="8" spans="1:27" ht="15.75" thickBot="1">
      <c r="A8" t="s">
        <v>526</v>
      </c>
      <c r="B8" s="942">
        <v>93410180</v>
      </c>
      <c r="C8" s="942"/>
      <c r="D8" s="279"/>
      <c r="E8" s="279"/>
      <c r="H8" s="298">
        <f>H6+H7</f>
        <v>7280719</v>
      </c>
      <c r="I8" s="299" t="s">
        <v>561</v>
      </c>
    </row>
    <row r="9" spans="1:27">
      <c r="A9" s="282" t="s">
        <v>527</v>
      </c>
      <c r="B9" s="940">
        <f>67423744+11223466+7564848*0.5</f>
        <v>82429634</v>
      </c>
      <c r="C9" s="940"/>
      <c r="D9" s="279" t="s">
        <v>886</v>
      </c>
      <c r="E9" s="279"/>
    </row>
    <row r="10" spans="1:27">
      <c r="A10" s="2" t="s">
        <v>528</v>
      </c>
      <c r="B10" s="144">
        <v>100</v>
      </c>
      <c r="C10" s="144">
        <f>B10</f>
        <v>100</v>
      </c>
      <c r="D10" t="s">
        <v>529</v>
      </c>
      <c r="I10" s="325" t="s">
        <v>887</v>
      </c>
    </row>
    <row r="11" spans="1:27">
      <c r="A11" s="2" t="s">
        <v>542</v>
      </c>
      <c r="B11" s="274">
        <v>0.80100000000000005</v>
      </c>
      <c r="C11" s="274">
        <v>0.19900000000000001</v>
      </c>
      <c r="D11" s="274"/>
      <c r="E11" s="274"/>
      <c r="G11" s="22"/>
      <c r="I11" s="653" t="s">
        <v>888</v>
      </c>
    </row>
    <row r="12" spans="1:27">
      <c r="A12" s="282" t="s">
        <v>541</v>
      </c>
      <c r="B12" s="284">
        <f>ROUND((B9-H6)*B11,0)</f>
        <v>62797531</v>
      </c>
      <c r="C12" s="284">
        <f>ROUND((B9-H6)*C11,0)</f>
        <v>15601384</v>
      </c>
    </row>
    <row r="13" spans="1:27">
      <c r="A13" s="282" t="s">
        <v>531</v>
      </c>
      <c r="B13" s="284">
        <v>-2000000</v>
      </c>
      <c r="C13" s="9"/>
      <c r="D13" s="279"/>
      <c r="E13" s="279"/>
      <c r="F13" s="29"/>
    </row>
    <row r="14" spans="1:27">
      <c r="A14" s="2" t="s">
        <v>539</v>
      </c>
      <c r="B14" s="9"/>
      <c r="C14" s="9">
        <f>4030719-H7</f>
        <v>780719</v>
      </c>
      <c r="D14" s="300" t="s">
        <v>571</v>
      </c>
      <c r="E14" s="300"/>
    </row>
    <row r="15" spans="1:27">
      <c r="A15" s="282" t="s">
        <v>570</v>
      </c>
      <c r="B15" s="327">
        <f>-H7</f>
        <v>-3250000</v>
      </c>
      <c r="C15" s="286">
        <f>H7</f>
        <v>3250000</v>
      </c>
      <c r="D15" s="300" t="s">
        <v>633</v>
      </c>
      <c r="E15" s="300"/>
    </row>
    <row r="16" spans="1:27">
      <c r="A16" s="287" t="s">
        <v>544</v>
      </c>
      <c r="B16" s="288">
        <f>B12+B13-H7</f>
        <v>57547531</v>
      </c>
      <c r="C16" s="288">
        <f>C12+C14+C15</f>
        <v>19632103</v>
      </c>
      <c r="D16" s="279"/>
      <c r="E16" s="279"/>
    </row>
    <row r="17" spans="1:9">
      <c r="A17" s="2"/>
      <c r="B17" s="9"/>
    </row>
    <row r="18" spans="1:9" ht="14.45" customHeight="1">
      <c r="A18" s="2" t="s">
        <v>524</v>
      </c>
      <c r="B18" s="942">
        <v>37914363</v>
      </c>
      <c r="C18" s="942"/>
      <c r="D18" s="279"/>
      <c r="E18" s="279"/>
      <c r="F18" s="936" t="s">
        <v>557</v>
      </c>
      <c r="G18" s="936"/>
      <c r="H18" s="936"/>
    </row>
    <row r="19" spans="1:9">
      <c r="A19" s="2" t="s">
        <v>525</v>
      </c>
      <c r="B19" s="941">
        <v>0.51800000000000002</v>
      </c>
      <c r="C19" s="941"/>
      <c r="D19" s="274" t="s">
        <v>674</v>
      </c>
      <c r="E19" s="274"/>
      <c r="F19" s="936"/>
      <c r="G19" s="936"/>
      <c r="H19" s="936"/>
    </row>
    <row r="20" spans="1:9">
      <c r="A20" s="282" t="s">
        <v>523</v>
      </c>
      <c r="B20" s="940">
        <v>0</v>
      </c>
      <c r="C20" s="940"/>
      <c r="D20" s="279"/>
      <c r="E20" s="279"/>
      <c r="F20" s="936"/>
      <c r="G20" s="936"/>
      <c r="H20" s="936"/>
    </row>
    <row r="21" spans="1:9">
      <c r="A21" s="2" t="s">
        <v>532</v>
      </c>
      <c r="B21" s="274">
        <f>B11</f>
        <v>0.80100000000000005</v>
      </c>
      <c r="C21" s="274">
        <f>C11</f>
        <v>0.19900000000000001</v>
      </c>
      <c r="D21" s="274"/>
      <c r="E21" s="274"/>
      <c r="F21" s="936"/>
      <c r="G21" s="936"/>
      <c r="H21" s="936"/>
    </row>
    <row r="22" spans="1:9">
      <c r="A22" s="282" t="s">
        <v>540</v>
      </c>
      <c r="B22" s="284">
        <f>ROUND(B20*B21,0)</f>
        <v>0</v>
      </c>
      <c r="C22" s="284">
        <f>ROUND(B20*C21,0)</f>
        <v>0</v>
      </c>
      <c r="D22" s="279"/>
      <c r="E22" s="279"/>
      <c r="F22" s="295"/>
      <c r="G22" s="295"/>
      <c r="H22" s="295"/>
    </row>
    <row r="23" spans="1:9" ht="15" customHeight="1">
      <c r="A23" s="282" t="s">
        <v>530</v>
      </c>
      <c r="B23" s="284">
        <v>0</v>
      </c>
      <c r="C23" s="284"/>
      <c r="D23" s="279"/>
      <c r="E23" s="279"/>
      <c r="F23" s="295"/>
      <c r="G23" s="930" t="s">
        <v>662</v>
      </c>
      <c r="H23" s="930"/>
      <c r="I23" s="930"/>
    </row>
    <row r="24" spans="1:9">
      <c r="A24" s="287" t="s">
        <v>543</v>
      </c>
      <c r="B24" s="288">
        <f>B22-B23</f>
        <v>0</v>
      </c>
      <c r="C24" s="288">
        <f>C22-C23</f>
        <v>0</v>
      </c>
      <c r="D24" s="279"/>
      <c r="E24" s="279"/>
      <c r="G24" s="930"/>
      <c r="H24" s="930"/>
      <c r="I24" s="930"/>
    </row>
    <row r="25" spans="1:9" s="290" customFormat="1">
      <c r="A25" s="275"/>
      <c r="B25" s="278"/>
      <c r="C25" s="278"/>
      <c r="D25" s="326"/>
      <c r="E25" s="326"/>
    </row>
    <row r="26" spans="1:9" s="290" customFormat="1">
      <c r="A26" s="275"/>
      <c r="B26" s="278"/>
      <c r="C26" s="278"/>
      <c r="D26" s="326"/>
      <c r="E26" s="326"/>
      <c r="G26" s="930" t="s">
        <v>663</v>
      </c>
      <c r="H26" s="930"/>
      <c r="I26" s="930"/>
    </row>
    <row r="27" spans="1:9">
      <c r="B27" s="285"/>
      <c r="C27" s="285"/>
      <c r="D27" s="4" t="s">
        <v>637</v>
      </c>
      <c r="E27" s="4"/>
      <c r="G27" s="930"/>
      <c r="H27" s="930"/>
      <c r="I27" s="930"/>
    </row>
    <row r="28" spans="1:9">
      <c r="A28" s="287" t="s">
        <v>634</v>
      </c>
      <c r="B28" s="288">
        <f>B16+B24</f>
        <v>57547531</v>
      </c>
      <c r="C28" s="288">
        <f>C16+C24</f>
        <v>19632103</v>
      </c>
      <c r="D28" s="279">
        <f>B28+C28</f>
        <v>77179634</v>
      </c>
      <c r="E28" s="279"/>
    </row>
    <row r="29" spans="1:9">
      <c r="A29" s="287" t="s">
        <v>635</v>
      </c>
      <c r="B29" s="288">
        <f>-B13+B16+B22</f>
        <v>59547531</v>
      </c>
      <c r="C29" s="288">
        <f>C16+C24</f>
        <v>19632103</v>
      </c>
      <c r="D29" s="279">
        <f t="shared" ref="D29:D30" si="0">B29+C29</f>
        <v>79179634</v>
      </c>
      <c r="G29" s="930" t="s">
        <v>784</v>
      </c>
      <c r="H29" s="930"/>
      <c r="I29" s="930"/>
    </row>
    <row r="30" spans="1:9">
      <c r="A30" s="287" t="s">
        <v>636</v>
      </c>
      <c r="B30" s="288">
        <f>-B13-B15+B16+B22</f>
        <v>62797531</v>
      </c>
      <c r="C30" s="288">
        <f>C16+C24</f>
        <v>19632103</v>
      </c>
      <c r="D30" s="279">
        <f t="shared" si="0"/>
        <v>82429634</v>
      </c>
      <c r="G30" s="930"/>
      <c r="H30" s="930"/>
      <c r="I30" s="930"/>
    </row>
    <row r="31" spans="1:9">
      <c r="A31" s="275"/>
      <c r="B31" s="276"/>
    </row>
    <row r="32" spans="1:9">
      <c r="A32" s="275"/>
      <c r="B32" s="277"/>
    </row>
    <row r="33" spans="1:2">
      <c r="A33" s="275"/>
      <c r="B33" s="278"/>
    </row>
  </sheetData>
  <mergeCells count="15">
    <mergeCell ref="G29:I30"/>
    <mergeCell ref="G26:I27"/>
    <mergeCell ref="G23:I24"/>
    <mergeCell ref="B2:D2"/>
    <mergeCell ref="C3:D3"/>
    <mergeCell ref="C4:D4"/>
    <mergeCell ref="F18:H21"/>
    <mergeCell ref="H5:I5"/>
    <mergeCell ref="H4:K4"/>
    <mergeCell ref="B9:C9"/>
    <mergeCell ref="B20:C20"/>
    <mergeCell ref="B19:C19"/>
    <mergeCell ref="B18:C18"/>
    <mergeCell ref="B8:C8"/>
    <mergeCell ref="C5:D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E03F0-61F8-4D67-990E-72604E25B71C}">
  <dimension ref="A1:J19"/>
  <sheetViews>
    <sheetView workbookViewId="0">
      <selection activeCell="G2" sqref="G2:H18"/>
    </sheetView>
  </sheetViews>
  <sheetFormatPr defaultRowHeight="15"/>
  <cols>
    <col min="2" max="2" width="22.85546875" bestFit="1" customWidth="1"/>
    <col min="3" max="3" width="10.7109375" bestFit="1" customWidth="1"/>
    <col min="4" max="4" width="12.140625" customWidth="1"/>
    <col min="5" max="5" width="10.7109375" style="432" bestFit="1" customWidth="1"/>
    <col min="6" max="6" width="14.7109375" style="432" customWidth="1"/>
    <col min="7" max="7" width="10.140625" style="432" bestFit="1" customWidth="1"/>
    <col min="8" max="8" width="14.7109375" style="432" customWidth="1"/>
    <col min="9" max="9" width="10.140625" bestFit="1" customWidth="1"/>
    <col min="10" max="10" width="14.7109375" customWidth="1"/>
  </cols>
  <sheetData>
    <row r="1" spans="1:10" ht="15.75" thickBot="1">
      <c r="A1" s="952" t="s">
        <v>152</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46.5" thickBot="1">
      <c r="A3" s="960"/>
      <c r="B3" s="962"/>
      <c r="C3" s="962"/>
      <c r="D3" s="974"/>
      <c r="E3" s="460" t="s">
        <v>121</v>
      </c>
      <c r="F3" s="468" t="s">
        <v>704</v>
      </c>
      <c r="G3" s="460" t="s">
        <v>121</v>
      </c>
      <c r="H3" s="468" t="s">
        <v>704</v>
      </c>
      <c r="I3" s="478" t="s">
        <v>121</v>
      </c>
      <c r="J3" s="25" t="s">
        <v>704</v>
      </c>
    </row>
    <row r="4" spans="1:10">
      <c r="A4" s="70">
        <v>43816</v>
      </c>
      <c r="B4" s="71" t="s">
        <v>648</v>
      </c>
      <c r="C4" s="72">
        <v>152538.85999999999</v>
      </c>
      <c r="D4" s="429">
        <f>C4</f>
        <v>152538.85999999999</v>
      </c>
      <c r="E4" s="469">
        <v>153305.99</v>
      </c>
      <c r="F4" s="470">
        <f>IF(ISBLANK(E4),"----",E4-$D4)</f>
        <v>767.13000000000466</v>
      </c>
      <c r="G4" s="469" t="s">
        <v>703</v>
      </c>
      <c r="H4" s="470" t="str">
        <f t="shared" ref="H4:H18" si="0">IF(OR(G4="Complete",ISBLANK(G4)),"----",G4-$D4)</f>
        <v>----</v>
      </c>
      <c r="I4" s="479" t="s">
        <v>703</v>
      </c>
      <c r="J4" s="73" t="str">
        <f t="shared" ref="J4:J18" si="1">IF(OR(I4="Complete",ISBLANK(I4)),"----",I4-$D4)</f>
        <v>----</v>
      </c>
    </row>
    <row r="5" spans="1:10">
      <c r="A5" s="88">
        <v>45097</v>
      </c>
      <c r="B5" s="101" t="s">
        <v>647</v>
      </c>
      <c r="C5" s="82">
        <v>523952.6</v>
      </c>
      <c r="D5" s="431">
        <f>C5</f>
        <v>523952.6</v>
      </c>
      <c r="E5" s="471"/>
      <c r="F5" s="472" t="str">
        <f t="shared" ref="F5:F18" si="2">IF(ISBLANK(E5),"----",E5-$D5)</f>
        <v>----</v>
      </c>
      <c r="G5" s="471"/>
      <c r="H5" s="472" t="str">
        <f t="shared" si="0"/>
        <v>----</v>
      </c>
      <c r="I5" s="484"/>
      <c r="J5" s="83" t="str">
        <f t="shared" si="1"/>
        <v>----</v>
      </c>
    </row>
    <row r="6" spans="1:10">
      <c r="A6" s="102"/>
      <c r="B6" s="103"/>
      <c r="C6" s="87"/>
      <c r="D6" s="466"/>
      <c r="E6" s="473"/>
      <c r="F6" s="485" t="str">
        <f t="shared" si="2"/>
        <v>----</v>
      </c>
      <c r="G6" s="473"/>
      <c r="H6" s="485" t="str">
        <f t="shared" si="0"/>
        <v>----</v>
      </c>
      <c r="I6" s="486"/>
      <c r="J6" s="115" t="str">
        <f t="shared" si="1"/>
        <v>----</v>
      </c>
    </row>
    <row r="7" spans="1:10">
      <c r="A7" s="102"/>
      <c r="B7" s="103"/>
      <c r="C7" s="87"/>
      <c r="D7" s="466"/>
      <c r="E7" s="473"/>
      <c r="F7" s="485" t="str">
        <f t="shared" si="2"/>
        <v>----</v>
      </c>
      <c r="G7" s="473"/>
      <c r="H7" s="485" t="str">
        <f t="shared" si="0"/>
        <v>----</v>
      </c>
      <c r="I7" s="486"/>
      <c r="J7" s="115" t="str">
        <f t="shared" si="1"/>
        <v>----</v>
      </c>
    </row>
    <row r="8" spans="1:10">
      <c r="A8" s="102"/>
      <c r="B8" s="103"/>
      <c r="C8" s="87"/>
      <c r="D8" s="466"/>
      <c r="E8" s="473"/>
      <c r="F8" s="485" t="str">
        <f t="shared" si="2"/>
        <v>----</v>
      </c>
      <c r="G8" s="473"/>
      <c r="H8" s="485" t="str">
        <f t="shared" si="0"/>
        <v>----</v>
      </c>
      <c r="I8" s="486"/>
      <c r="J8" s="115" t="str">
        <f t="shared" si="1"/>
        <v>----</v>
      </c>
    </row>
    <row r="9" spans="1:10">
      <c r="A9" s="102"/>
      <c r="B9" s="103"/>
      <c r="C9" s="87"/>
      <c r="D9" s="466"/>
      <c r="E9" s="473"/>
      <c r="F9" s="485" t="str">
        <f t="shared" si="2"/>
        <v>----</v>
      </c>
      <c r="G9" s="473"/>
      <c r="H9" s="485" t="str">
        <f t="shared" si="0"/>
        <v>----</v>
      </c>
      <c r="I9" s="486"/>
      <c r="J9" s="115" t="str">
        <f t="shared" si="1"/>
        <v>----</v>
      </c>
    </row>
    <row r="10" spans="1:10">
      <c r="A10" s="102"/>
      <c r="B10" s="103"/>
      <c r="C10" s="87"/>
      <c r="D10" s="466"/>
      <c r="E10" s="473"/>
      <c r="F10" s="485" t="str">
        <f t="shared" si="2"/>
        <v>----</v>
      </c>
      <c r="G10" s="473"/>
      <c r="H10" s="485" t="str">
        <f t="shared" si="0"/>
        <v>----</v>
      </c>
      <c r="I10" s="486"/>
      <c r="J10" s="115" t="str">
        <f t="shared" si="1"/>
        <v>----</v>
      </c>
    </row>
    <row r="11" spans="1:10">
      <c r="A11" s="102"/>
      <c r="B11" s="103"/>
      <c r="C11" s="87"/>
      <c r="D11" s="466"/>
      <c r="E11" s="473"/>
      <c r="F11" s="485" t="str">
        <f t="shared" si="2"/>
        <v>----</v>
      </c>
      <c r="G11" s="473"/>
      <c r="H11" s="485" t="str">
        <f t="shared" si="0"/>
        <v>----</v>
      </c>
      <c r="I11" s="486"/>
      <c r="J11" s="115" t="str">
        <f t="shared" si="1"/>
        <v>----</v>
      </c>
    </row>
    <row r="12" spans="1:10">
      <c r="A12" s="102"/>
      <c r="B12" s="103"/>
      <c r="C12" s="87"/>
      <c r="D12" s="466"/>
      <c r="E12" s="473"/>
      <c r="F12" s="485" t="str">
        <f t="shared" si="2"/>
        <v>----</v>
      </c>
      <c r="G12" s="473"/>
      <c r="H12" s="485" t="str">
        <f t="shared" si="0"/>
        <v>----</v>
      </c>
      <c r="I12" s="486"/>
      <c r="J12" s="115" t="str">
        <f t="shared" si="1"/>
        <v>----</v>
      </c>
    </row>
    <row r="13" spans="1:10">
      <c r="A13" s="102"/>
      <c r="B13" s="103"/>
      <c r="C13" s="87"/>
      <c r="D13" s="466"/>
      <c r="E13" s="473"/>
      <c r="F13" s="485" t="str">
        <f t="shared" si="2"/>
        <v>----</v>
      </c>
      <c r="G13" s="473"/>
      <c r="H13" s="485" t="str">
        <f t="shared" si="0"/>
        <v>----</v>
      </c>
      <c r="I13" s="486"/>
      <c r="J13" s="115" t="str">
        <f t="shared" si="1"/>
        <v>----</v>
      </c>
    </row>
    <row r="14" spans="1:10">
      <c r="A14" s="102"/>
      <c r="B14" s="103"/>
      <c r="C14" s="87"/>
      <c r="D14" s="466"/>
      <c r="E14" s="473"/>
      <c r="F14" s="485" t="str">
        <f t="shared" si="2"/>
        <v>----</v>
      </c>
      <c r="G14" s="473"/>
      <c r="H14" s="485" t="str">
        <f t="shared" si="0"/>
        <v>----</v>
      </c>
      <c r="I14" s="486"/>
      <c r="J14" s="115" t="str">
        <f t="shared" si="1"/>
        <v>----</v>
      </c>
    </row>
    <row r="15" spans="1:10">
      <c r="A15" s="102"/>
      <c r="B15" s="103"/>
      <c r="C15" s="87"/>
      <c r="D15" s="466"/>
      <c r="E15" s="473"/>
      <c r="F15" s="485" t="str">
        <f t="shared" si="2"/>
        <v>----</v>
      </c>
      <c r="G15" s="473"/>
      <c r="H15" s="485" t="str">
        <f t="shared" si="0"/>
        <v>----</v>
      </c>
      <c r="I15" s="486"/>
      <c r="J15" s="115" t="str">
        <f t="shared" si="1"/>
        <v>----</v>
      </c>
    </row>
    <row r="16" spans="1:10">
      <c r="A16" s="102"/>
      <c r="B16" s="103"/>
      <c r="C16" s="87"/>
      <c r="D16" s="466"/>
      <c r="E16" s="473"/>
      <c r="F16" s="485" t="str">
        <f t="shared" si="2"/>
        <v>----</v>
      </c>
      <c r="G16" s="473"/>
      <c r="H16" s="485" t="str">
        <f t="shared" si="0"/>
        <v>----</v>
      </c>
      <c r="I16" s="486"/>
      <c r="J16" s="115" t="str">
        <f t="shared" si="1"/>
        <v>----</v>
      </c>
    </row>
    <row r="17" spans="1:10">
      <c r="A17" s="116"/>
      <c r="B17" s="117"/>
      <c r="C17" s="118"/>
      <c r="D17" s="467"/>
      <c r="E17" s="474"/>
      <c r="F17" s="487" t="str">
        <f t="shared" si="2"/>
        <v>----</v>
      </c>
      <c r="G17" s="474"/>
      <c r="H17" s="487" t="str">
        <f t="shared" si="0"/>
        <v>----</v>
      </c>
      <c r="I17" s="488"/>
      <c r="J17" s="119" t="str">
        <f t="shared" si="1"/>
        <v>----</v>
      </c>
    </row>
    <row r="18" spans="1:10" ht="15.75" thickBot="1">
      <c r="A18" s="74"/>
      <c r="B18" s="75"/>
      <c r="C18" s="76"/>
      <c r="D18" s="430"/>
      <c r="E18" s="475"/>
      <c r="F18" s="476" t="str">
        <f t="shared" si="2"/>
        <v>----</v>
      </c>
      <c r="G18" s="475"/>
      <c r="H18" s="476" t="str">
        <f t="shared" si="0"/>
        <v>----</v>
      </c>
      <c r="I18" s="481"/>
      <c r="J18" s="77" t="str">
        <f t="shared" si="1"/>
        <v>----</v>
      </c>
    </row>
    <row r="19" spans="1:10" ht="15.75" thickBot="1">
      <c r="A19" s="27"/>
      <c r="B19" s="27"/>
      <c r="C19" s="28"/>
      <c r="D19" s="28"/>
      <c r="E19" s="439"/>
      <c r="F19" s="441">
        <f>SUM(F4:F18)</f>
        <v>767.13000000000466</v>
      </c>
      <c r="G19" s="439"/>
      <c r="H19" s="441">
        <f>SUM(H4:H18)</f>
        <v>0</v>
      </c>
      <c r="I19" s="28"/>
      <c r="J19" s="69">
        <f>SUM(J4:J18)</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8B4AA-0AEE-4D18-9E45-2A993D97114A}">
  <dimension ref="A1:J23"/>
  <sheetViews>
    <sheetView workbookViewId="0">
      <selection activeCell="L19" sqref="L19"/>
    </sheetView>
  </sheetViews>
  <sheetFormatPr defaultRowHeight="15"/>
  <cols>
    <col min="1" max="1" width="8.5703125" bestFit="1" customWidth="1"/>
    <col min="2" max="2" width="22.85546875" bestFit="1" customWidth="1"/>
    <col min="3" max="3" width="12.5703125" bestFit="1" customWidth="1"/>
    <col min="4" max="4" width="11.42578125" bestFit="1" customWidth="1"/>
    <col min="5" max="5" width="8" style="432" bestFit="1" customWidth="1"/>
    <col min="6" max="6" width="9.42578125" style="432" customWidth="1"/>
    <col min="7" max="7" width="10.7109375" style="432" bestFit="1" customWidth="1"/>
    <col min="8" max="8" width="9.42578125" style="432" customWidth="1"/>
    <col min="9" max="9" width="8.42578125" bestFit="1" customWidth="1"/>
    <col min="10" max="10" width="9.42578125" customWidth="1"/>
  </cols>
  <sheetData>
    <row r="1" spans="1:10" ht="15.75" thickBot="1">
      <c r="A1" s="952" t="s">
        <v>252</v>
      </c>
      <c r="B1" s="953"/>
      <c r="C1" s="953"/>
      <c r="D1" s="953"/>
      <c r="E1" s="953"/>
      <c r="F1" s="953"/>
      <c r="G1" s="953"/>
      <c r="H1" s="953"/>
      <c r="I1" s="953"/>
      <c r="J1" s="954"/>
    </row>
    <row r="2" spans="1:10" s="432" customFormat="1">
      <c r="A2" s="959" t="s">
        <v>110</v>
      </c>
      <c r="B2" s="961" t="s">
        <v>111</v>
      </c>
      <c r="C2" s="961" t="s">
        <v>112</v>
      </c>
      <c r="D2" s="963" t="s">
        <v>120</v>
      </c>
      <c r="E2" s="957" t="s">
        <v>701</v>
      </c>
      <c r="F2" s="958"/>
      <c r="G2" s="957" t="s">
        <v>702</v>
      </c>
      <c r="H2" s="958"/>
      <c r="I2" s="932" t="s">
        <v>796</v>
      </c>
      <c r="J2" s="933"/>
    </row>
    <row r="3" spans="1:10" ht="57.75" thickBot="1">
      <c r="A3" s="960"/>
      <c r="B3" s="962"/>
      <c r="C3" s="962"/>
      <c r="D3" s="964"/>
      <c r="E3" s="460" t="s">
        <v>121</v>
      </c>
      <c r="F3" s="468" t="s">
        <v>704</v>
      </c>
      <c r="G3" s="460" t="s">
        <v>121</v>
      </c>
      <c r="H3" s="468" t="s">
        <v>704</v>
      </c>
      <c r="I3" s="478" t="s">
        <v>121</v>
      </c>
      <c r="J3" s="25" t="s">
        <v>704</v>
      </c>
    </row>
    <row r="4" spans="1:10">
      <c r="A4" s="70">
        <v>44516</v>
      </c>
      <c r="B4" s="71" t="s">
        <v>463</v>
      </c>
      <c r="C4" s="781">
        <v>879845.12</v>
      </c>
      <c r="D4" s="787">
        <f>C4</f>
        <v>879845.12</v>
      </c>
      <c r="E4" s="794"/>
      <c r="F4" s="803" t="str">
        <f>IF(ISBLANK(E4),"----",E4-$D4)</f>
        <v>----</v>
      </c>
      <c r="G4" s="794">
        <v>883737.93</v>
      </c>
      <c r="H4" s="803">
        <f t="shared" ref="H4:H22" si="0">IF(OR(G4="Complete",ISBLANK(G4)),"----",G4-$D4)</f>
        <v>3892.8100000000559</v>
      </c>
      <c r="I4" s="791" t="s">
        <v>703</v>
      </c>
      <c r="J4" s="804" t="str">
        <f t="shared" ref="J4:J22" si="1">IF(OR(I4="Complete",ISBLANK(I4)),"----",I4-$D4)</f>
        <v>----</v>
      </c>
    </row>
    <row r="5" spans="1:10">
      <c r="A5" s="88">
        <v>44733</v>
      </c>
      <c r="B5" s="101" t="s">
        <v>536</v>
      </c>
      <c r="C5" s="784">
        <v>591209.19999999995</v>
      </c>
      <c r="D5" s="788">
        <f>C5</f>
        <v>591209.19999999995</v>
      </c>
      <c r="E5" s="795"/>
      <c r="F5" s="807" t="str">
        <f t="shared" ref="F5:F22" si="2">IF(ISBLANK(E5),"----",E5-$D5)</f>
        <v>----</v>
      </c>
      <c r="G5" s="795"/>
      <c r="H5" s="807" t="str">
        <f t="shared" si="0"/>
        <v>----</v>
      </c>
      <c r="I5" s="792"/>
      <c r="J5" s="808" t="str">
        <f t="shared" si="1"/>
        <v>----</v>
      </c>
    </row>
    <row r="6" spans="1:10">
      <c r="A6" s="88">
        <v>45342</v>
      </c>
      <c r="B6" s="448" t="s">
        <v>725</v>
      </c>
      <c r="C6" s="784">
        <v>919921.77</v>
      </c>
      <c r="D6" s="788">
        <f>C6</f>
        <v>919921.77</v>
      </c>
      <c r="E6" s="795"/>
      <c r="F6" s="807" t="str">
        <f t="shared" si="2"/>
        <v>----</v>
      </c>
      <c r="G6" s="795"/>
      <c r="H6" s="807" t="str">
        <f t="shared" si="0"/>
        <v>----</v>
      </c>
      <c r="I6" s="792"/>
      <c r="J6" s="808" t="str">
        <f t="shared" si="1"/>
        <v>----</v>
      </c>
    </row>
    <row r="7" spans="1:10">
      <c r="A7" s="88">
        <v>45706</v>
      </c>
      <c r="B7" s="697" t="s">
        <v>833</v>
      </c>
      <c r="C7" s="784">
        <v>1491087.15</v>
      </c>
      <c r="D7" s="788">
        <f>C7</f>
        <v>1491087.15</v>
      </c>
      <c r="E7" s="795"/>
      <c r="F7" s="807" t="str">
        <f t="shared" si="2"/>
        <v>----</v>
      </c>
      <c r="G7" s="795"/>
      <c r="H7" s="807" t="str">
        <f t="shared" si="0"/>
        <v>----</v>
      </c>
      <c r="I7" s="792"/>
      <c r="J7" s="808" t="str">
        <f t="shared" si="1"/>
        <v>----</v>
      </c>
    </row>
    <row r="8" spans="1:10">
      <c r="A8" s="88"/>
      <c r="B8" s="101"/>
      <c r="C8" s="784"/>
      <c r="D8" s="788"/>
      <c r="E8" s="795"/>
      <c r="F8" s="807" t="str">
        <f t="shared" si="2"/>
        <v>----</v>
      </c>
      <c r="G8" s="795"/>
      <c r="H8" s="807" t="str">
        <f t="shared" si="0"/>
        <v>----</v>
      </c>
      <c r="I8" s="792"/>
      <c r="J8" s="808" t="str">
        <f t="shared" si="1"/>
        <v>----</v>
      </c>
    </row>
    <row r="9" spans="1:10">
      <c r="A9" s="88"/>
      <c r="B9" s="101"/>
      <c r="C9" s="784"/>
      <c r="D9" s="788"/>
      <c r="E9" s="795"/>
      <c r="F9" s="807" t="str">
        <f t="shared" si="2"/>
        <v>----</v>
      </c>
      <c r="G9" s="795"/>
      <c r="H9" s="807" t="str">
        <f t="shared" si="0"/>
        <v>----</v>
      </c>
      <c r="I9" s="792"/>
      <c r="J9" s="808" t="str">
        <f t="shared" si="1"/>
        <v>----</v>
      </c>
    </row>
    <row r="10" spans="1:10">
      <c r="A10" s="88"/>
      <c r="B10" s="101"/>
      <c r="C10" s="784"/>
      <c r="D10" s="788"/>
      <c r="E10" s="795"/>
      <c r="F10" s="807" t="str">
        <f t="shared" si="2"/>
        <v>----</v>
      </c>
      <c r="G10" s="795"/>
      <c r="H10" s="807" t="str">
        <f t="shared" si="0"/>
        <v>----</v>
      </c>
      <c r="I10" s="792"/>
      <c r="J10" s="808" t="str">
        <f t="shared" si="1"/>
        <v>----</v>
      </c>
    </row>
    <row r="11" spans="1:10">
      <c r="A11" s="88"/>
      <c r="B11" s="101"/>
      <c r="C11" s="784"/>
      <c r="D11" s="788"/>
      <c r="E11" s="795"/>
      <c r="F11" s="807" t="str">
        <f t="shared" si="2"/>
        <v>----</v>
      </c>
      <c r="G11" s="795"/>
      <c r="H11" s="807" t="str">
        <f t="shared" si="0"/>
        <v>----</v>
      </c>
      <c r="I11" s="792"/>
      <c r="J11" s="808" t="str">
        <f t="shared" si="1"/>
        <v>----</v>
      </c>
    </row>
    <row r="12" spans="1:10">
      <c r="A12" s="88"/>
      <c r="B12" s="101"/>
      <c r="C12" s="784"/>
      <c r="D12" s="788"/>
      <c r="E12" s="795"/>
      <c r="F12" s="807" t="str">
        <f t="shared" si="2"/>
        <v>----</v>
      </c>
      <c r="G12" s="795"/>
      <c r="H12" s="807" t="str">
        <f t="shared" si="0"/>
        <v>----</v>
      </c>
      <c r="I12" s="792"/>
      <c r="J12" s="808" t="str">
        <f t="shared" si="1"/>
        <v>----</v>
      </c>
    </row>
    <row r="13" spans="1:10">
      <c r="A13" s="88"/>
      <c r="B13" s="101"/>
      <c r="C13" s="784"/>
      <c r="D13" s="788"/>
      <c r="E13" s="795"/>
      <c r="F13" s="807" t="str">
        <f t="shared" si="2"/>
        <v>----</v>
      </c>
      <c r="G13" s="795"/>
      <c r="H13" s="807" t="str">
        <f t="shared" si="0"/>
        <v>----</v>
      </c>
      <c r="I13" s="792"/>
      <c r="J13" s="808" t="str">
        <f t="shared" si="1"/>
        <v>----</v>
      </c>
    </row>
    <row r="14" spans="1:10">
      <c r="A14" s="88"/>
      <c r="B14" s="101"/>
      <c r="C14" s="784"/>
      <c r="D14" s="788"/>
      <c r="E14" s="795"/>
      <c r="F14" s="807" t="str">
        <f t="shared" si="2"/>
        <v>----</v>
      </c>
      <c r="G14" s="795"/>
      <c r="H14" s="807" t="str">
        <f t="shared" si="0"/>
        <v>----</v>
      </c>
      <c r="I14" s="792"/>
      <c r="J14" s="808" t="str">
        <f t="shared" si="1"/>
        <v>----</v>
      </c>
    </row>
    <row r="15" spans="1:10">
      <c r="A15" s="88"/>
      <c r="B15" s="101"/>
      <c r="C15" s="784"/>
      <c r="D15" s="788"/>
      <c r="E15" s="795"/>
      <c r="F15" s="807" t="str">
        <f t="shared" si="2"/>
        <v>----</v>
      </c>
      <c r="G15" s="795"/>
      <c r="H15" s="807" t="str">
        <f t="shared" si="0"/>
        <v>----</v>
      </c>
      <c r="I15" s="792"/>
      <c r="J15" s="808" t="str">
        <f t="shared" si="1"/>
        <v>----</v>
      </c>
    </row>
    <row r="16" spans="1:10">
      <c r="A16" s="88"/>
      <c r="B16" s="101"/>
      <c r="C16" s="784"/>
      <c r="D16" s="788"/>
      <c r="E16" s="795"/>
      <c r="F16" s="807" t="str">
        <f t="shared" si="2"/>
        <v>----</v>
      </c>
      <c r="G16" s="795"/>
      <c r="H16" s="807" t="str">
        <f t="shared" si="0"/>
        <v>----</v>
      </c>
      <c r="I16" s="792"/>
      <c r="J16" s="808" t="str">
        <f t="shared" si="1"/>
        <v>----</v>
      </c>
    </row>
    <row r="17" spans="1:10">
      <c r="A17" s="88"/>
      <c r="B17" s="101"/>
      <c r="C17" s="784"/>
      <c r="D17" s="788"/>
      <c r="E17" s="795"/>
      <c r="F17" s="807" t="str">
        <f t="shared" si="2"/>
        <v>----</v>
      </c>
      <c r="G17" s="795"/>
      <c r="H17" s="807" t="str">
        <f t="shared" si="0"/>
        <v>----</v>
      </c>
      <c r="I17" s="792"/>
      <c r="J17" s="808" t="str">
        <f t="shared" si="1"/>
        <v>----</v>
      </c>
    </row>
    <row r="18" spans="1:10">
      <c r="A18" s="88"/>
      <c r="B18" s="101"/>
      <c r="C18" s="784"/>
      <c r="D18" s="788"/>
      <c r="E18" s="795"/>
      <c r="F18" s="807" t="str">
        <f t="shared" si="2"/>
        <v>----</v>
      </c>
      <c r="G18" s="795"/>
      <c r="H18" s="807" t="str">
        <f t="shared" si="0"/>
        <v>----</v>
      </c>
      <c r="I18" s="792"/>
      <c r="J18" s="808" t="str">
        <f t="shared" si="1"/>
        <v>----</v>
      </c>
    </row>
    <row r="19" spans="1:10">
      <c r="A19" s="88"/>
      <c r="B19" s="101"/>
      <c r="C19" s="784"/>
      <c r="D19" s="788"/>
      <c r="E19" s="795"/>
      <c r="F19" s="807" t="str">
        <f t="shared" si="2"/>
        <v>----</v>
      </c>
      <c r="G19" s="795"/>
      <c r="H19" s="807" t="str">
        <f t="shared" si="0"/>
        <v>----</v>
      </c>
      <c r="I19" s="792"/>
      <c r="J19" s="808" t="str">
        <f t="shared" si="1"/>
        <v>----</v>
      </c>
    </row>
    <row r="20" spans="1:10">
      <c r="A20" s="88"/>
      <c r="B20" s="101"/>
      <c r="C20" s="784"/>
      <c r="D20" s="788"/>
      <c r="E20" s="795"/>
      <c r="F20" s="807" t="str">
        <f t="shared" si="2"/>
        <v>----</v>
      </c>
      <c r="G20" s="795"/>
      <c r="H20" s="807" t="str">
        <f t="shared" si="0"/>
        <v>----</v>
      </c>
      <c r="I20" s="792"/>
      <c r="J20" s="808" t="str">
        <f t="shared" si="1"/>
        <v>----</v>
      </c>
    </row>
    <row r="21" spans="1:10">
      <c r="A21" s="88"/>
      <c r="B21" s="101"/>
      <c r="C21" s="784"/>
      <c r="D21" s="788"/>
      <c r="E21" s="795"/>
      <c r="F21" s="807" t="str">
        <f t="shared" si="2"/>
        <v>----</v>
      </c>
      <c r="G21" s="795"/>
      <c r="H21" s="807" t="str">
        <f t="shared" si="0"/>
        <v>----</v>
      </c>
      <c r="I21" s="792"/>
      <c r="J21" s="808" t="str">
        <f t="shared" si="1"/>
        <v>----</v>
      </c>
    </row>
    <row r="22" spans="1:10" ht="15.75" thickBot="1">
      <c r="A22" s="74"/>
      <c r="B22" s="75"/>
      <c r="C22" s="783"/>
      <c r="D22" s="790"/>
      <c r="E22" s="796"/>
      <c r="F22" s="801" t="str">
        <f t="shared" si="2"/>
        <v>----</v>
      </c>
      <c r="G22" s="796"/>
      <c r="H22" s="801" t="str">
        <f t="shared" si="0"/>
        <v>----</v>
      </c>
      <c r="I22" s="793"/>
      <c r="J22" s="802" t="str">
        <f t="shared" si="1"/>
        <v>----</v>
      </c>
    </row>
    <row r="23" spans="1:10" ht="15.75" thickBot="1">
      <c r="A23" s="27"/>
      <c r="B23" s="27"/>
      <c r="C23" s="814"/>
      <c r="D23" s="814"/>
      <c r="E23" s="814"/>
      <c r="F23" s="815">
        <f>SUM(F4:F22)</f>
        <v>0</v>
      </c>
      <c r="G23" s="814"/>
      <c r="H23" s="815">
        <f>SUM(H4:H22)</f>
        <v>3892.8100000000559</v>
      </c>
      <c r="I23" s="814"/>
      <c r="J23" s="815">
        <f>SUM(J4:J22)</f>
        <v>0</v>
      </c>
    </row>
  </sheetData>
  <mergeCells count="8">
    <mergeCell ref="A1:J1"/>
    <mergeCell ref="A2:A3"/>
    <mergeCell ref="B2:B3"/>
    <mergeCell ref="C2:C3"/>
    <mergeCell ref="D2:D3"/>
    <mergeCell ref="E2:F2"/>
    <mergeCell ref="I2:J2"/>
    <mergeCell ref="G2:H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BEDA0-AC6A-4594-AF8E-0D953B02EA13}">
  <dimension ref="A1:K21"/>
  <sheetViews>
    <sheetView workbookViewId="0">
      <selection activeCell="I12" sqref="I12"/>
    </sheetView>
  </sheetViews>
  <sheetFormatPr defaultRowHeight="15"/>
  <cols>
    <col min="2" max="2" width="22.85546875" bestFit="1" customWidth="1"/>
    <col min="3" max="3" width="12" bestFit="1" customWidth="1"/>
    <col min="4" max="4" width="13.140625" customWidth="1"/>
    <col min="5" max="5" width="12" style="432" bestFit="1" customWidth="1"/>
    <col min="6" max="6" width="13" style="432" customWidth="1"/>
    <col min="7" max="7" width="11.42578125" style="432" bestFit="1" customWidth="1"/>
    <col min="8" max="8" width="13" style="432" customWidth="1"/>
    <col min="9" max="9" width="11.42578125" bestFit="1" customWidth="1"/>
    <col min="10" max="10" width="13" customWidth="1"/>
  </cols>
  <sheetData>
    <row r="1" spans="1:11" ht="15.75" thickBot="1">
      <c r="A1" s="952" t="s">
        <v>175</v>
      </c>
      <c r="B1" s="953"/>
      <c r="C1" s="953"/>
      <c r="D1" s="953"/>
      <c r="E1" s="953"/>
      <c r="F1" s="953"/>
      <c r="G1" s="953"/>
      <c r="H1" s="953"/>
      <c r="I1" s="953"/>
      <c r="J1" s="954"/>
    </row>
    <row r="2" spans="1:11" s="432" customFormat="1">
      <c r="A2" s="959" t="s">
        <v>110</v>
      </c>
      <c r="B2" s="961" t="s">
        <v>111</v>
      </c>
      <c r="C2" s="961" t="s">
        <v>112</v>
      </c>
      <c r="D2" s="963" t="s">
        <v>120</v>
      </c>
      <c r="E2" s="957" t="s">
        <v>701</v>
      </c>
      <c r="F2" s="958"/>
      <c r="G2" s="957" t="s">
        <v>702</v>
      </c>
      <c r="H2" s="958"/>
      <c r="I2" s="932" t="s">
        <v>796</v>
      </c>
      <c r="J2" s="933"/>
    </row>
    <row r="3" spans="1:11" ht="46.5" thickBot="1">
      <c r="A3" s="960"/>
      <c r="B3" s="962"/>
      <c r="C3" s="962"/>
      <c r="D3" s="964"/>
      <c r="E3" s="460" t="s">
        <v>121</v>
      </c>
      <c r="F3" s="468" t="s">
        <v>704</v>
      </c>
      <c r="G3" s="460" t="s">
        <v>121</v>
      </c>
      <c r="H3" s="468" t="s">
        <v>704</v>
      </c>
      <c r="I3" s="478" t="s">
        <v>121</v>
      </c>
      <c r="J3" s="25" t="s">
        <v>704</v>
      </c>
    </row>
    <row r="4" spans="1:11">
      <c r="A4" s="70">
        <v>43852</v>
      </c>
      <c r="B4" s="71" t="s">
        <v>209</v>
      </c>
      <c r="C4" s="781">
        <v>321780</v>
      </c>
      <c r="D4" s="787">
        <f>C4</f>
        <v>321780</v>
      </c>
      <c r="E4" s="794"/>
      <c r="F4" s="803" t="str">
        <f>IF(ISBLANK(E4),"----",E4-$D4)</f>
        <v>----</v>
      </c>
      <c r="G4" s="794"/>
      <c r="H4" s="803" t="str">
        <f t="shared" ref="H4:H19" si="0">IF(OR(G4="Complete",ISBLANK(G4)),"----",G4-$D4)</f>
        <v>----</v>
      </c>
      <c r="I4" s="791"/>
      <c r="J4" s="804" t="str">
        <f t="shared" ref="J4:J19" si="1">IF(OR(I4="Complete",ISBLANK(I4)),"----",I4-$D4)</f>
        <v>----</v>
      </c>
    </row>
    <row r="5" spans="1:11">
      <c r="A5" s="88">
        <v>43852</v>
      </c>
      <c r="B5" s="101" t="s">
        <v>210</v>
      </c>
      <c r="C5" s="784">
        <v>765828.4</v>
      </c>
      <c r="D5" s="788">
        <v>0</v>
      </c>
      <c r="E5" s="795"/>
      <c r="F5" s="807" t="str">
        <f t="shared" ref="F5:F19" si="2">IF(ISBLANK(E5),"----",E5-$D5)</f>
        <v>----</v>
      </c>
      <c r="G5" s="795"/>
      <c r="H5" s="807" t="str">
        <f t="shared" si="0"/>
        <v>----</v>
      </c>
      <c r="I5" s="792"/>
      <c r="J5" s="808" t="str">
        <f t="shared" si="1"/>
        <v>----</v>
      </c>
      <c r="K5" t="s">
        <v>211</v>
      </c>
    </row>
    <row r="6" spans="1:11">
      <c r="A6" s="102">
        <v>44216</v>
      </c>
      <c r="B6" s="103" t="s">
        <v>370</v>
      </c>
      <c r="C6" s="770">
        <v>634078.81999999995</v>
      </c>
      <c r="D6" s="788">
        <v>0</v>
      </c>
      <c r="E6" s="739"/>
      <c r="F6" s="807" t="str">
        <f t="shared" si="2"/>
        <v>----</v>
      </c>
      <c r="G6" s="739"/>
      <c r="H6" s="807" t="str">
        <f t="shared" si="0"/>
        <v>----</v>
      </c>
      <c r="I6" s="734"/>
      <c r="J6" s="808" t="str">
        <f t="shared" si="1"/>
        <v>----</v>
      </c>
      <c r="K6" t="s">
        <v>371</v>
      </c>
    </row>
    <row r="7" spans="1:11">
      <c r="A7" s="102">
        <v>44306</v>
      </c>
      <c r="B7" s="103" t="s">
        <v>421</v>
      </c>
      <c r="C7" s="770">
        <v>541859.67000000004</v>
      </c>
      <c r="D7" s="729">
        <v>214139.67</v>
      </c>
      <c r="E7" s="739">
        <v>211255.16</v>
      </c>
      <c r="F7" s="807">
        <f t="shared" si="2"/>
        <v>-2884.5100000000093</v>
      </c>
      <c r="G7" s="739" t="s">
        <v>703</v>
      </c>
      <c r="H7" s="807" t="str">
        <f t="shared" si="0"/>
        <v>----</v>
      </c>
      <c r="I7" s="734" t="s">
        <v>703</v>
      </c>
      <c r="J7" s="808" t="str">
        <f t="shared" si="1"/>
        <v>----</v>
      </c>
      <c r="K7" t="s">
        <v>422</v>
      </c>
    </row>
    <row r="8" spans="1:11">
      <c r="A8" s="102">
        <v>44580</v>
      </c>
      <c r="B8" s="103" t="s">
        <v>488</v>
      </c>
      <c r="C8" s="770">
        <v>1047234.25</v>
      </c>
      <c r="D8" s="729">
        <f t="shared" ref="D8:D13" si="3">C8</f>
        <v>1047234.25</v>
      </c>
      <c r="E8" s="739">
        <v>1046029.41</v>
      </c>
      <c r="F8" s="807">
        <f t="shared" si="2"/>
        <v>-1204.8399999999674</v>
      </c>
      <c r="G8" s="739" t="s">
        <v>703</v>
      </c>
      <c r="H8" s="807" t="str">
        <f t="shared" si="0"/>
        <v>----</v>
      </c>
      <c r="I8" s="734" t="s">
        <v>703</v>
      </c>
      <c r="J8" s="808" t="str">
        <f t="shared" si="1"/>
        <v>----</v>
      </c>
    </row>
    <row r="9" spans="1:11">
      <c r="A9" s="123">
        <v>44761</v>
      </c>
      <c r="B9" s="124" t="s">
        <v>545</v>
      </c>
      <c r="C9" s="726">
        <f>206085/2</f>
        <v>103042.5</v>
      </c>
      <c r="D9" s="743">
        <f t="shared" si="3"/>
        <v>103042.5</v>
      </c>
      <c r="E9" s="739">
        <v>104248.34</v>
      </c>
      <c r="F9" s="807">
        <f t="shared" si="2"/>
        <v>1205.8399999999965</v>
      </c>
      <c r="G9" s="739" t="s">
        <v>703</v>
      </c>
      <c r="H9" s="807" t="str">
        <f t="shared" si="0"/>
        <v>----</v>
      </c>
      <c r="I9" s="734" t="s">
        <v>703</v>
      </c>
      <c r="J9" s="808" t="str">
        <f t="shared" si="1"/>
        <v>----</v>
      </c>
      <c r="K9" t="s">
        <v>435</v>
      </c>
    </row>
    <row r="10" spans="1:11">
      <c r="A10" s="102">
        <v>44915</v>
      </c>
      <c r="B10" s="103" t="s">
        <v>604</v>
      </c>
      <c r="C10" s="770">
        <v>1146333.97</v>
      </c>
      <c r="D10" s="729">
        <f t="shared" si="3"/>
        <v>1146333.97</v>
      </c>
      <c r="E10" s="739"/>
      <c r="F10" s="807" t="str">
        <f t="shared" si="2"/>
        <v>----</v>
      </c>
      <c r="G10" s="739"/>
      <c r="H10" s="807" t="str">
        <f t="shared" si="0"/>
        <v>----</v>
      </c>
      <c r="I10" s="734"/>
      <c r="J10" s="808" t="str">
        <f t="shared" si="1"/>
        <v>----</v>
      </c>
    </row>
    <row r="11" spans="1:11">
      <c r="A11" s="102">
        <v>44944</v>
      </c>
      <c r="B11" s="103" t="s">
        <v>625</v>
      </c>
      <c r="C11" s="770">
        <v>723565.07</v>
      </c>
      <c r="D11" s="729">
        <f t="shared" si="3"/>
        <v>723565.07</v>
      </c>
      <c r="E11" s="739"/>
      <c r="F11" s="807" t="str">
        <f t="shared" si="2"/>
        <v>----</v>
      </c>
      <c r="G11" s="739"/>
      <c r="H11" s="807" t="str">
        <f t="shared" si="0"/>
        <v>----</v>
      </c>
      <c r="I11" s="734">
        <v>689037.52</v>
      </c>
      <c r="J11" s="808">
        <f t="shared" si="1"/>
        <v>-34527.54999999993</v>
      </c>
    </row>
    <row r="12" spans="1:11">
      <c r="A12" s="102">
        <v>45342</v>
      </c>
      <c r="B12" s="450" t="s">
        <v>726</v>
      </c>
      <c r="C12" s="770">
        <v>1215158.05</v>
      </c>
      <c r="D12" s="729">
        <f t="shared" si="3"/>
        <v>1215158.05</v>
      </c>
      <c r="E12" s="739"/>
      <c r="F12" s="807" t="str">
        <f t="shared" si="2"/>
        <v>----</v>
      </c>
      <c r="G12" s="739"/>
      <c r="H12" s="807" t="str">
        <f t="shared" si="0"/>
        <v>----</v>
      </c>
      <c r="I12" s="734"/>
      <c r="J12" s="808" t="str">
        <f t="shared" si="1"/>
        <v>----</v>
      </c>
    </row>
    <row r="13" spans="1:11">
      <c r="A13" s="102">
        <v>45679</v>
      </c>
      <c r="B13" s="721" t="s">
        <v>823</v>
      </c>
      <c r="C13" s="770">
        <v>462557.64</v>
      </c>
      <c r="D13" s="729">
        <f t="shared" si="3"/>
        <v>462557.64</v>
      </c>
      <c r="E13" s="739"/>
      <c r="F13" s="807" t="str">
        <f t="shared" si="2"/>
        <v>----</v>
      </c>
      <c r="G13" s="739"/>
      <c r="H13" s="807" t="str">
        <f t="shared" si="0"/>
        <v>----</v>
      </c>
      <c r="I13" s="734"/>
      <c r="J13" s="808" t="str">
        <f t="shared" si="1"/>
        <v>----</v>
      </c>
    </row>
    <row r="14" spans="1:11">
      <c r="A14" s="102">
        <v>45706</v>
      </c>
      <c r="B14" s="721" t="s">
        <v>834</v>
      </c>
      <c r="C14" s="770">
        <v>1599694.69</v>
      </c>
      <c r="D14" s="729">
        <f>C14</f>
        <v>1599694.69</v>
      </c>
      <c r="E14" s="739"/>
      <c r="F14" s="807" t="str">
        <f t="shared" si="2"/>
        <v>----</v>
      </c>
      <c r="G14" s="739"/>
      <c r="H14" s="807" t="str">
        <f t="shared" si="0"/>
        <v>----</v>
      </c>
      <c r="I14" s="734"/>
      <c r="J14" s="808" t="str">
        <f t="shared" si="1"/>
        <v>----</v>
      </c>
    </row>
    <row r="15" spans="1:11">
      <c r="A15" s="102"/>
      <c r="B15" s="103"/>
      <c r="C15" s="770"/>
      <c r="D15" s="729"/>
      <c r="E15" s="739"/>
      <c r="F15" s="807" t="str">
        <f t="shared" si="2"/>
        <v>----</v>
      </c>
      <c r="G15" s="739"/>
      <c r="H15" s="807" t="str">
        <f t="shared" si="0"/>
        <v>----</v>
      </c>
      <c r="I15" s="734"/>
      <c r="J15" s="808" t="str">
        <f t="shared" si="1"/>
        <v>----</v>
      </c>
    </row>
    <row r="16" spans="1:11">
      <c r="A16" s="102"/>
      <c r="B16" s="103"/>
      <c r="C16" s="770"/>
      <c r="D16" s="729"/>
      <c r="E16" s="739"/>
      <c r="F16" s="807" t="str">
        <f t="shared" si="2"/>
        <v>----</v>
      </c>
      <c r="G16" s="739"/>
      <c r="H16" s="807" t="str">
        <f t="shared" si="0"/>
        <v>----</v>
      </c>
      <c r="I16" s="734"/>
      <c r="J16" s="808" t="str">
        <f t="shared" si="1"/>
        <v>----</v>
      </c>
    </row>
    <row r="17" spans="1:10">
      <c r="A17" s="102"/>
      <c r="B17" s="103"/>
      <c r="C17" s="770"/>
      <c r="D17" s="729"/>
      <c r="E17" s="739"/>
      <c r="F17" s="807" t="str">
        <f t="shared" si="2"/>
        <v>----</v>
      </c>
      <c r="G17" s="739"/>
      <c r="H17" s="807" t="str">
        <f t="shared" si="0"/>
        <v>----</v>
      </c>
      <c r="I17" s="734"/>
      <c r="J17" s="808" t="str">
        <f t="shared" si="1"/>
        <v>----</v>
      </c>
    </row>
    <row r="18" spans="1:10">
      <c r="A18" s="116"/>
      <c r="B18" s="117"/>
      <c r="C18" s="773"/>
      <c r="D18" s="789"/>
      <c r="E18" s="740"/>
      <c r="F18" s="807" t="str">
        <f t="shared" si="2"/>
        <v>----</v>
      </c>
      <c r="G18" s="740"/>
      <c r="H18" s="807" t="str">
        <f t="shared" si="0"/>
        <v>----</v>
      </c>
      <c r="I18" s="735"/>
      <c r="J18" s="808" t="str">
        <f t="shared" si="1"/>
        <v>----</v>
      </c>
    </row>
    <row r="19" spans="1:10" ht="15.75" thickBot="1">
      <c r="A19" s="74"/>
      <c r="B19" s="75"/>
      <c r="C19" s="783"/>
      <c r="D19" s="790"/>
      <c r="E19" s="796"/>
      <c r="F19" s="801" t="str">
        <f t="shared" si="2"/>
        <v>----</v>
      </c>
      <c r="G19" s="796"/>
      <c r="H19" s="801" t="str">
        <f t="shared" si="0"/>
        <v>----</v>
      </c>
      <c r="I19" s="793"/>
      <c r="J19" s="802" t="str">
        <f t="shared" si="1"/>
        <v>----</v>
      </c>
    </row>
    <row r="20" spans="1:10" ht="15.75" thickBot="1">
      <c r="A20" s="27"/>
      <c r="B20" s="27"/>
      <c r="C20" s="814"/>
      <c r="D20" s="814"/>
      <c r="E20" s="814"/>
      <c r="F20" s="815">
        <f>SUM(F4:F19)</f>
        <v>-2883.5099999999802</v>
      </c>
      <c r="G20" s="814"/>
      <c r="H20" s="815">
        <f>SUM(H4:H19)</f>
        <v>0</v>
      </c>
      <c r="I20" s="814"/>
      <c r="J20" s="815">
        <f>SUM(J4:J19)</f>
        <v>-34527.54999999993</v>
      </c>
    </row>
    <row r="21" spans="1:10">
      <c r="C21" s="719"/>
      <c r="D21" s="719"/>
      <c r="E21" s="719"/>
      <c r="F21" s="719"/>
      <c r="G21" s="719"/>
      <c r="H21" s="719"/>
      <c r="I21" s="719"/>
      <c r="J21" s="719"/>
    </row>
  </sheetData>
  <mergeCells count="8">
    <mergeCell ref="A1:J1"/>
    <mergeCell ref="E2:F2"/>
    <mergeCell ref="I2:J2"/>
    <mergeCell ref="A2:A3"/>
    <mergeCell ref="C2:C3"/>
    <mergeCell ref="D2:D3"/>
    <mergeCell ref="B2:B3"/>
    <mergeCell ref="G2:H2"/>
  </mergeCells>
  <pageMargins left="0.7" right="0.7" top="0.75" bottom="0.75" header="0.3" footer="0.3"/>
  <pageSetup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51612-C9DF-4233-ACB7-B7C7E02013C6}">
  <dimension ref="A1:U25"/>
  <sheetViews>
    <sheetView workbookViewId="0">
      <selection activeCell="D13" sqref="D13"/>
    </sheetView>
  </sheetViews>
  <sheetFormatPr defaultRowHeight="15"/>
  <cols>
    <col min="2" max="2" width="22.7109375" bestFit="1" customWidth="1"/>
    <col min="3" max="4" width="10.7109375" bestFit="1" customWidth="1"/>
    <col min="5" max="5" width="10.7109375" style="432" bestFit="1" customWidth="1"/>
    <col min="6" max="6" width="11.5703125" style="432" customWidth="1"/>
    <col min="7" max="7" width="10.7109375" style="432" bestFit="1" customWidth="1"/>
    <col min="8" max="8" width="11.5703125" style="432" customWidth="1"/>
    <col min="9" max="9" width="10.7109375" bestFit="1" customWidth="1"/>
    <col min="10" max="10" width="11.5703125" customWidth="1"/>
  </cols>
  <sheetData>
    <row r="1" spans="1:21" ht="15.75" thickBot="1">
      <c r="A1" s="952" t="s">
        <v>136</v>
      </c>
      <c r="B1" s="953"/>
      <c r="C1" s="953"/>
      <c r="D1" s="953"/>
      <c r="E1" s="953"/>
      <c r="F1" s="953"/>
      <c r="G1" s="953"/>
      <c r="H1" s="953"/>
      <c r="I1" s="953"/>
      <c r="J1" s="954"/>
    </row>
    <row r="2" spans="1:21" s="432" customFormat="1">
      <c r="A2" s="959" t="s">
        <v>110</v>
      </c>
      <c r="B2" s="961" t="s">
        <v>111</v>
      </c>
      <c r="C2" s="961" t="s">
        <v>112</v>
      </c>
      <c r="D2" s="963" t="s">
        <v>120</v>
      </c>
      <c r="E2" s="957" t="s">
        <v>701</v>
      </c>
      <c r="F2" s="958"/>
      <c r="G2" s="957" t="s">
        <v>702</v>
      </c>
      <c r="H2" s="958"/>
      <c r="I2" s="932" t="s">
        <v>796</v>
      </c>
      <c r="J2" s="933"/>
    </row>
    <row r="3" spans="1:21" ht="57.75" thickBot="1">
      <c r="A3" s="960"/>
      <c r="B3" s="962"/>
      <c r="C3" s="962"/>
      <c r="D3" s="964"/>
      <c r="E3" s="460" t="s">
        <v>121</v>
      </c>
      <c r="F3" s="468" t="s">
        <v>704</v>
      </c>
      <c r="G3" s="460" t="s">
        <v>121</v>
      </c>
      <c r="H3" s="468" t="s">
        <v>704</v>
      </c>
      <c r="I3" s="478" t="s">
        <v>121</v>
      </c>
      <c r="J3" s="25" t="s">
        <v>704</v>
      </c>
    </row>
    <row r="4" spans="1:21">
      <c r="A4" s="70">
        <v>43788</v>
      </c>
      <c r="B4" s="71" t="s">
        <v>146</v>
      </c>
      <c r="C4" s="72">
        <v>249397</v>
      </c>
      <c r="D4" s="429">
        <v>199517.6</v>
      </c>
      <c r="E4" s="513">
        <v>198478.1</v>
      </c>
      <c r="F4" s="470">
        <f>IF(ISBLANK(E4),"----",E4-$D4)</f>
        <v>-1039.5</v>
      </c>
      <c r="G4" s="513" t="s">
        <v>703</v>
      </c>
      <c r="H4" s="470" t="str">
        <f t="shared" ref="H4:H23" si="0">IF(OR(G4="Complete",ISBLANK(G4)),"----",G4-$D4)</f>
        <v>----</v>
      </c>
      <c r="I4" s="509" t="s">
        <v>703</v>
      </c>
      <c r="J4" s="73" t="str">
        <f t="shared" ref="J4:J23" si="1">IF(OR(I4="Complete",ISBLANK(I4)),"----",I4-$D4)</f>
        <v>----</v>
      </c>
    </row>
    <row r="5" spans="1:21" s="413" customFormat="1">
      <c r="A5" s="417" t="s">
        <v>695</v>
      </c>
      <c r="B5" s="418" t="s">
        <v>146</v>
      </c>
      <c r="C5" s="416">
        <f>65544.6+7386.1</f>
        <v>72930.700000000012</v>
      </c>
      <c r="D5" s="505">
        <v>33267.599999999999</v>
      </c>
      <c r="E5" s="482">
        <v>58344.56</v>
      </c>
      <c r="F5" s="472">
        <f t="shared" ref="F5:F23" si="2">IF(ISBLANK(E5),"----",E5-$D5)</f>
        <v>25076.959999999999</v>
      </c>
      <c r="G5" s="482" t="s">
        <v>703</v>
      </c>
      <c r="H5" s="472" t="str">
        <f t="shared" si="0"/>
        <v>----</v>
      </c>
      <c r="I5" s="480" t="s">
        <v>703</v>
      </c>
      <c r="J5" s="415" t="str">
        <f t="shared" si="1"/>
        <v>----</v>
      </c>
      <c r="K5" s="414" t="s">
        <v>696</v>
      </c>
    </row>
    <row r="6" spans="1:21">
      <c r="A6" s="204">
        <v>43879</v>
      </c>
      <c r="B6" s="409" t="s">
        <v>215</v>
      </c>
      <c r="C6" s="205">
        <v>441592.87</v>
      </c>
      <c r="D6" s="506">
        <v>353274.3</v>
      </c>
      <c r="E6" s="514">
        <v>355135.81</v>
      </c>
      <c r="F6" s="515">
        <f t="shared" si="2"/>
        <v>1861.5100000000093</v>
      </c>
      <c r="G6" s="514" t="s">
        <v>703</v>
      </c>
      <c r="H6" s="515" t="str">
        <f t="shared" si="0"/>
        <v>----</v>
      </c>
      <c r="I6" s="510" t="s">
        <v>703</v>
      </c>
      <c r="J6" s="206" t="str">
        <f t="shared" si="1"/>
        <v>----</v>
      </c>
      <c r="K6" s="420"/>
    </row>
    <row r="7" spans="1:21" s="413" customFormat="1">
      <c r="A7" s="421" t="s">
        <v>695</v>
      </c>
      <c r="B7" s="111" t="s">
        <v>215</v>
      </c>
      <c r="C7" s="422">
        <v>71986.100000000006</v>
      </c>
      <c r="D7" s="507">
        <v>0</v>
      </c>
      <c r="E7" s="516">
        <v>57588.88</v>
      </c>
      <c r="F7" s="515">
        <f t="shared" si="2"/>
        <v>57588.88</v>
      </c>
      <c r="G7" s="516" t="s">
        <v>703</v>
      </c>
      <c r="H7" s="515" t="str">
        <f t="shared" si="0"/>
        <v>----</v>
      </c>
      <c r="I7" s="511" t="s">
        <v>703</v>
      </c>
      <c r="J7" s="206" t="str">
        <f t="shared" si="1"/>
        <v>----</v>
      </c>
      <c r="K7" s="419" t="s">
        <v>697</v>
      </c>
    </row>
    <row r="8" spans="1:21">
      <c r="A8" s="371">
        <v>44216</v>
      </c>
      <c r="B8" s="407" t="s">
        <v>372</v>
      </c>
      <c r="C8" s="423">
        <v>424079.6</v>
      </c>
      <c r="D8" s="508">
        <f>C8</f>
        <v>424079.6</v>
      </c>
      <c r="E8" s="517">
        <v>430785.47</v>
      </c>
      <c r="F8" s="515">
        <f t="shared" si="2"/>
        <v>6705.8699999999953</v>
      </c>
      <c r="G8" s="517" t="s">
        <v>703</v>
      </c>
      <c r="H8" s="515" t="str">
        <f t="shared" si="0"/>
        <v>----</v>
      </c>
      <c r="I8" s="512" t="s">
        <v>703</v>
      </c>
      <c r="J8" s="206" t="str">
        <f t="shared" si="1"/>
        <v>----</v>
      </c>
    </row>
    <row r="9" spans="1:21">
      <c r="A9" s="102">
        <v>44243</v>
      </c>
      <c r="B9" s="103" t="s">
        <v>394</v>
      </c>
      <c r="C9" s="87">
        <v>531449.79</v>
      </c>
      <c r="D9" s="466">
        <f>C9</f>
        <v>531449.79</v>
      </c>
      <c r="E9" s="473">
        <v>547859.80000000005</v>
      </c>
      <c r="F9" s="472">
        <f t="shared" si="2"/>
        <v>16410.010000000009</v>
      </c>
      <c r="G9" s="473" t="s">
        <v>703</v>
      </c>
      <c r="H9" s="472" t="str">
        <f t="shared" si="0"/>
        <v>----</v>
      </c>
      <c r="I9" s="486" t="s">
        <v>703</v>
      </c>
      <c r="J9" s="83" t="str">
        <f t="shared" si="1"/>
        <v>----</v>
      </c>
      <c r="P9" s="975" t="s">
        <v>698</v>
      </c>
      <c r="Q9" s="975"/>
      <c r="R9" s="975"/>
      <c r="S9" s="975"/>
      <c r="T9" s="975"/>
      <c r="U9" s="975"/>
    </row>
    <row r="10" spans="1:21">
      <c r="A10" s="102">
        <v>45342</v>
      </c>
      <c r="B10" s="450" t="s">
        <v>728</v>
      </c>
      <c r="C10" s="593">
        <v>760336.1</v>
      </c>
      <c r="D10" s="594">
        <f>C10</f>
        <v>760336.1</v>
      </c>
      <c r="E10" s="473"/>
      <c r="F10" s="472" t="str">
        <f t="shared" si="2"/>
        <v>----</v>
      </c>
      <c r="G10" s="473"/>
      <c r="H10" s="472" t="str">
        <f t="shared" si="0"/>
        <v>----</v>
      </c>
      <c r="I10" s="486"/>
      <c r="J10" s="83" t="str">
        <f t="shared" si="1"/>
        <v>----</v>
      </c>
      <c r="P10" s="975"/>
      <c r="Q10" s="975"/>
      <c r="R10" s="975"/>
      <c r="S10" s="975"/>
      <c r="T10" s="975"/>
      <c r="U10" s="975"/>
    </row>
    <row r="11" spans="1:21">
      <c r="A11" s="102">
        <v>45524</v>
      </c>
      <c r="B11" s="450" t="s">
        <v>769</v>
      </c>
      <c r="C11" s="593">
        <v>868293.75</v>
      </c>
      <c r="D11" s="594">
        <v>0</v>
      </c>
      <c r="E11" s="473"/>
      <c r="F11" s="472" t="str">
        <f t="shared" si="2"/>
        <v>----</v>
      </c>
      <c r="G11" s="473"/>
      <c r="H11" s="472" t="str">
        <f t="shared" si="0"/>
        <v>----</v>
      </c>
      <c r="I11" s="486"/>
      <c r="J11" s="83" t="str">
        <f t="shared" si="1"/>
        <v>----</v>
      </c>
      <c r="K11" t="s">
        <v>770</v>
      </c>
      <c r="P11" s="975"/>
      <c r="Q11" s="975"/>
      <c r="R11" s="975"/>
      <c r="S11" s="975"/>
      <c r="T11" s="975"/>
      <c r="U11" s="975"/>
    </row>
    <row r="12" spans="1:21">
      <c r="A12" s="102">
        <v>45916</v>
      </c>
      <c r="B12" s="721" t="s">
        <v>903</v>
      </c>
      <c r="C12" s="593">
        <v>634293.1</v>
      </c>
      <c r="D12" s="594">
        <f>C12</f>
        <v>634293.1</v>
      </c>
      <c r="E12" s="473"/>
      <c r="F12" s="472" t="str">
        <f t="shared" si="2"/>
        <v>----</v>
      </c>
      <c r="G12" s="473"/>
      <c r="H12" s="472" t="str">
        <f t="shared" si="0"/>
        <v>----</v>
      </c>
      <c r="I12" s="486"/>
      <c r="J12" s="83" t="str">
        <f t="shared" si="1"/>
        <v>----</v>
      </c>
      <c r="P12" s="975"/>
      <c r="Q12" s="975"/>
      <c r="R12" s="975"/>
      <c r="S12" s="975"/>
      <c r="T12" s="975"/>
      <c r="U12" s="975"/>
    </row>
    <row r="13" spans="1:21">
      <c r="A13" s="102"/>
      <c r="B13" s="103"/>
      <c r="C13" s="87"/>
      <c r="D13" s="466"/>
      <c r="E13" s="473"/>
      <c r="F13" s="472" t="str">
        <f t="shared" si="2"/>
        <v>----</v>
      </c>
      <c r="G13" s="473"/>
      <c r="H13" s="472" t="str">
        <f t="shared" si="0"/>
        <v>----</v>
      </c>
      <c r="I13" s="486"/>
      <c r="J13" s="83" t="str">
        <f t="shared" si="1"/>
        <v>----</v>
      </c>
      <c r="P13" s="975"/>
      <c r="Q13" s="975"/>
      <c r="R13" s="975"/>
      <c r="S13" s="975"/>
      <c r="T13" s="975"/>
      <c r="U13" s="975"/>
    </row>
    <row r="14" spans="1:21">
      <c r="A14" s="102"/>
      <c r="B14" s="103"/>
      <c r="C14" s="87"/>
      <c r="D14" s="466"/>
      <c r="E14" s="473"/>
      <c r="F14" s="472" t="str">
        <f t="shared" si="2"/>
        <v>----</v>
      </c>
      <c r="G14" s="473"/>
      <c r="H14" s="472" t="str">
        <f t="shared" si="0"/>
        <v>----</v>
      </c>
      <c r="I14" s="486"/>
      <c r="J14" s="83" t="str">
        <f t="shared" si="1"/>
        <v>----</v>
      </c>
      <c r="P14" s="975"/>
      <c r="Q14" s="975"/>
      <c r="R14" s="975"/>
      <c r="S14" s="975"/>
      <c r="T14" s="975"/>
      <c r="U14" s="975"/>
    </row>
    <row r="15" spans="1:21">
      <c r="A15" s="102"/>
      <c r="B15" s="103"/>
      <c r="C15" s="87"/>
      <c r="D15" s="466"/>
      <c r="E15" s="473"/>
      <c r="F15" s="472" t="str">
        <f t="shared" si="2"/>
        <v>----</v>
      </c>
      <c r="G15" s="473"/>
      <c r="H15" s="472" t="str">
        <f t="shared" si="0"/>
        <v>----</v>
      </c>
      <c r="I15" s="486"/>
      <c r="J15" s="83" t="str">
        <f t="shared" si="1"/>
        <v>----</v>
      </c>
      <c r="P15" s="975"/>
      <c r="Q15" s="975"/>
      <c r="R15" s="975"/>
      <c r="S15" s="975"/>
      <c r="T15" s="975"/>
      <c r="U15" s="975"/>
    </row>
    <row r="16" spans="1:21">
      <c r="A16" s="102"/>
      <c r="B16" s="103"/>
      <c r="C16" s="87"/>
      <c r="D16" s="466"/>
      <c r="E16" s="473"/>
      <c r="F16" s="472" t="str">
        <f t="shared" si="2"/>
        <v>----</v>
      </c>
      <c r="G16" s="473"/>
      <c r="H16" s="472" t="str">
        <f t="shared" si="0"/>
        <v>----</v>
      </c>
      <c r="I16" s="486"/>
      <c r="J16" s="83" t="str">
        <f t="shared" si="1"/>
        <v>----</v>
      </c>
      <c r="P16" s="975"/>
      <c r="Q16" s="975"/>
      <c r="R16" s="975"/>
      <c r="S16" s="975"/>
      <c r="T16" s="975"/>
      <c r="U16" s="975"/>
    </row>
    <row r="17" spans="1:21">
      <c r="A17" s="102"/>
      <c r="B17" s="103"/>
      <c r="C17" s="87"/>
      <c r="D17" s="466"/>
      <c r="E17" s="473"/>
      <c r="F17" s="472" t="str">
        <f t="shared" si="2"/>
        <v>----</v>
      </c>
      <c r="G17" s="473"/>
      <c r="H17" s="472" t="str">
        <f t="shared" si="0"/>
        <v>----</v>
      </c>
      <c r="I17" s="486"/>
      <c r="J17" s="83" t="str">
        <f t="shared" si="1"/>
        <v>----</v>
      </c>
      <c r="P17" s="975"/>
      <c r="Q17" s="975"/>
      <c r="R17" s="975"/>
      <c r="S17" s="975"/>
      <c r="T17" s="975"/>
      <c r="U17" s="975"/>
    </row>
    <row r="18" spans="1:21">
      <c r="A18" s="102"/>
      <c r="B18" s="103"/>
      <c r="C18" s="87"/>
      <c r="D18" s="466"/>
      <c r="E18" s="473"/>
      <c r="F18" s="472" t="str">
        <f t="shared" si="2"/>
        <v>----</v>
      </c>
      <c r="G18" s="473"/>
      <c r="H18" s="472" t="str">
        <f t="shared" si="0"/>
        <v>----</v>
      </c>
      <c r="I18" s="486"/>
      <c r="J18" s="83" t="str">
        <f t="shared" si="1"/>
        <v>----</v>
      </c>
      <c r="P18" s="975"/>
      <c r="Q18" s="975"/>
      <c r="R18" s="975"/>
      <c r="S18" s="975"/>
      <c r="T18" s="975"/>
      <c r="U18" s="975"/>
    </row>
    <row r="19" spans="1:21">
      <c r="A19" s="102"/>
      <c r="B19" s="103"/>
      <c r="C19" s="87"/>
      <c r="D19" s="466"/>
      <c r="E19" s="473"/>
      <c r="F19" s="472" t="str">
        <f t="shared" si="2"/>
        <v>----</v>
      </c>
      <c r="G19" s="473"/>
      <c r="H19" s="472" t="str">
        <f t="shared" si="0"/>
        <v>----</v>
      </c>
      <c r="I19" s="486"/>
      <c r="J19" s="83" t="str">
        <f t="shared" si="1"/>
        <v>----</v>
      </c>
      <c r="P19" s="975"/>
      <c r="Q19" s="975"/>
      <c r="R19" s="975"/>
      <c r="S19" s="975"/>
      <c r="T19" s="975"/>
      <c r="U19" s="975"/>
    </row>
    <row r="20" spans="1:21">
      <c r="A20" s="102"/>
      <c r="B20" s="103"/>
      <c r="C20" s="87"/>
      <c r="D20" s="466"/>
      <c r="E20" s="473"/>
      <c r="F20" s="472" t="str">
        <f t="shared" si="2"/>
        <v>----</v>
      </c>
      <c r="G20" s="473"/>
      <c r="H20" s="472" t="str">
        <f t="shared" si="0"/>
        <v>----</v>
      </c>
      <c r="I20" s="486"/>
      <c r="J20" s="83" t="str">
        <f t="shared" si="1"/>
        <v>----</v>
      </c>
      <c r="P20" s="975"/>
      <c r="Q20" s="975"/>
      <c r="R20" s="975"/>
      <c r="S20" s="975"/>
      <c r="T20" s="975"/>
      <c r="U20" s="975"/>
    </row>
    <row r="21" spans="1:21">
      <c r="A21" s="102"/>
      <c r="B21" s="103"/>
      <c r="C21" s="87"/>
      <c r="D21" s="466"/>
      <c r="E21" s="473"/>
      <c r="F21" s="472" t="str">
        <f t="shared" si="2"/>
        <v>----</v>
      </c>
      <c r="G21" s="473"/>
      <c r="H21" s="472" t="str">
        <f t="shared" si="0"/>
        <v>----</v>
      </c>
      <c r="I21" s="486"/>
      <c r="J21" s="83" t="str">
        <f t="shared" si="1"/>
        <v>----</v>
      </c>
      <c r="P21" s="975"/>
      <c r="Q21" s="975"/>
      <c r="R21" s="975"/>
      <c r="S21" s="975"/>
      <c r="T21" s="975"/>
      <c r="U21" s="975"/>
    </row>
    <row r="22" spans="1:21">
      <c r="A22" s="116"/>
      <c r="B22" s="117"/>
      <c r="C22" s="118"/>
      <c r="D22" s="467"/>
      <c r="E22" s="474"/>
      <c r="F22" s="472" t="str">
        <f t="shared" si="2"/>
        <v>----</v>
      </c>
      <c r="G22" s="474"/>
      <c r="H22" s="472" t="str">
        <f t="shared" si="0"/>
        <v>----</v>
      </c>
      <c r="I22" s="488"/>
      <c r="J22" s="83" t="str">
        <f t="shared" si="1"/>
        <v>----</v>
      </c>
    </row>
    <row r="23" spans="1:21" ht="15.75" thickBot="1">
      <c r="A23" s="74"/>
      <c r="B23" s="75"/>
      <c r="C23" s="76"/>
      <c r="D23" s="430"/>
      <c r="E23" s="475"/>
      <c r="F23" s="518" t="str">
        <f t="shared" si="2"/>
        <v>----</v>
      </c>
      <c r="G23" s="475"/>
      <c r="H23" s="476" t="str">
        <f t="shared" si="0"/>
        <v>----</v>
      </c>
      <c r="I23" s="481"/>
      <c r="J23" s="519" t="str">
        <f t="shared" si="1"/>
        <v>----</v>
      </c>
    </row>
    <row r="24" spans="1:21" ht="15.75" thickBot="1">
      <c r="A24" s="27"/>
      <c r="B24" s="27"/>
      <c r="C24" s="28"/>
      <c r="D24" s="28"/>
      <c r="E24" s="439"/>
      <c r="F24" s="520">
        <f>SUM(F4:F23)</f>
        <v>106603.73000000001</v>
      </c>
      <c r="G24" s="439"/>
      <c r="H24" s="520">
        <f>SUM(H4:H23)</f>
        <v>0</v>
      </c>
      <c r="I24" s="28"/>
      <c r="J24" s="520">
        <f>SUM(J4:J23)</f>
        <v>0</v>
      </c>
    </row>
    <row r="25" spans="1:21">
      <c r="A25" s="17"/>
      <c r="B25" s="17"/>
      <c r="C25" s="20"/>
      <c r="D25" s="20"/>
      <c r="E25" s="435"/>
      <c r="F25" s="435"/>
      <c r="G25" s="435"/>
      <c r="H25" s="435"/>
      <c r="I25" s="20"/>
      <c r="J25" s="20"/>
    </row>
  </sheetData>
  <mergeCells count="9">
    <mergeCell ref="A1:J1"/>
    <mergeCell ref="P9:U21"/>
    <mergeCell ref="E2:F2"/>
    <mergeCell ref="I2:J2"/>
    <mergeCell ref="A2:A3"/>
    <mergeCell ref="B2:B3"/>
    <mergeCell ref="C2:C3"/>
    <mergeCell ref="D2:D3"/>
    <mergeCell ref="G2:H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C9A3C-A3DA-43AC-84E6-71236ED195F3}">
  <dimension ref="A1:J23"/>
  <sheetViews>
    <sheetView workbookViewId="0">
      <selection activeCell="I6" sqref="I6"/>
    </sheetView>
  </sheetViews>
  <sheetFormatPr defaultRowHeight="15"/>
  <cols>
    <col min="2" max="2" width="23.5703125" bestFit="1" customWidth="1"/>
    <col min="3" max="3" width="12" bestFit="1" customWidth="1"/>
    <col min="4" max="4" width="12.42578125" customWidth="1"/>
    <col min="5" max="6" width="9.140625" style="432"/>
    <col min="7" max="7" width="10.7109375" style="432" bestFit="1" customWidth="1"/>
    <col min="8" max="8" width="11.28515625" style="432" bestFit="1" customWidth="1"/>
  </cols>
  <sheetData>
    <row r="1" spans="1:10" ht="15.75" thickBot="1">
      <c r="A1" s="952" t="s">
        <v>253</v>
      </c>
      <c r="B1" s="953"/>
      <c r="C1" s="953"/>
      <c r="D1" s="953"/>
      <c r="E1" s="953"/>
      <c r="F1" s="953"/>
      <c r="G1" s="953"/>
      <c r="H1" s="953"/>
      <c r="I1" s="953"/>
      <c r="J1" s="954"/>
    </row>
    <row r="2" spans="1:10" s="432" customFormat="1">
      <c r="A2" s="959" t="s">
        <v>110</v>
      </c>
      <c r="B2" s="961" t="s">
        <v>111</v>
      </c>
      <c r="C2" s="961" t="s">
        <v>112</v>
      </c>
      <c r="D2" s="963" t="s">
        <v>247</v>
      </c>
      <c r="E2" s="957" t="s">
        <v>701</v>
      </c>
      <c r="F2" s="958"/>
      <c r="G2" s="957" t="s">
        <v>702</v>
      </c>
      <c r="H2" s="958"/>
      <c r="I2" s="932" t="s">
        <v>796</v>
      </c>
      <c r="J2" s="933"/>
    </row>
    <row r="3" spans="1:10" ht="69" thickBot="1">
      <c r="A3" s="960"/>
      <c r="B3" s="962"/>
      <c r="C3" s="962"/>
      <c r="D3" s="964"/>
      <c r="E3" s="460" t="s">
        <v>121</v>
      </c>
      <c r="F3" s="468" t="s">
        <v>704</v>
      </c>
      <c r="G3" s="460" t="s">
        <v>121</v>
      </c>
      <c r="H3" s="468" t="s">
        <v>704</v>
      </c>
      <c r="I3" s="478" t="s">
        <v>121</v>
      </c>
      <c r="J3" s="25" t="s">
        <v>704</v>
      </c>
    </row>
    <row r="4" spans="1:10">
      <c r="A4" s="70">
        <v>44124</v>
      </c>
      <c r="B4" s="71" t="s">
        <v>310</v>
      </c>
      <c r="C4" s="72">
        <v>2218553.4500000002</v>
      </c>
      <c r="D4" s="429">
        <v>1040762.54</v>
      </c>
      <c r="E4" s="469"/>
      <c r="F4" s="470" t="str">
        <f>IF(ISBLANK(E4),"----",E4-$D4)</f>
        <v>----</v>
      </c>
      <c r="G4" s="469"/>
      <c r="H4" s="470" t="str">
        <f t="shared" ref="H4:H22" si="0">IF(OR(G4="Complete",ISBLANK(G4)),"----",G4-$D4)</f>
        <v>----</v>
      </c>
      <c r="I4" s="479"/>
      <c r="J4" s="73" t="str">
        <f t="shared" ref="J4:J22" si="1">IF(OR(I4="Complete",ISBLANK(I4)),"----",I4-$D4)</f>
        <v>----</v>
      </c>
    </row>
    <row r="5" spans="1:10">
      <c r="A5" s="88">
        <v>44334</v>
      </c>
      <c r="B5" s="101" t="s">
        <v>427</v>
      </c>
      <c r="C5" s="82">
        <v>481055.1</v>
      </c>
      <c r="D5" s="431">
        <f>C5</f>
        <v>481055.1</v>
      </c>
      <c r="E5" s="471"/>
      <c r="F5" s="472" t="str">
        <f t="shared" ref="F5:F22" si="2">IF(ISBLANK(E5),"----",E5-$D5)</f>
        <v>----</v>
      </c>
      <c r="G5" s="471">
        <v>362371.12</v>
      </c>
      <c r="H5" s="472">
        <f t="shared" si="0"/>
        <v>-118683.97999999998</v>
      </c>
      <c r="I5" s="484" t="s">
        <v>703</v>
      </c>
      <c r="J5" s="83" t="str">
        <f t="shared" si="1"/>
        <v>----</v>
      </c>
    </row>
    <row r="6" spans="1:10" s="432" customFormat="1">
      <c r="A6" s="449"/>
      <c r="B6" s="450"/>
      <c r="C6" s="446"/>
      <c r="D6" s="466"/>
      <c r="E6" s="473"/>
      <c r="F6" s="485" t="str">
        <f t="shared" si="2"/>
        <v>----</v>
      </c>
      <c r="G6" s="473"/>
      <c r="H6" s="485" t="str">
        <f t="shared" si="0"/>
        <v>----</v>
      </c>
      <c r="I6" s="486"/>
      <c r="J6" s="451" t="str">
        <f t="shared" si="1"/>
        <v>----</v>
      </c>
    </row>
    <row r="7" spans="1:10" s="432" customFormat="1">
      <c r="A7" s="449"/>
      <c r="B7" s="450"/>
      <c r="C7" s="446"/>
      <c r="D7" s="466"/>
      <c r="E7" s="473"/>
      <c r="F7" s="485" t="str">
        <f t="shared" si="2"/>
        <v>----</v>
      </c>
      <c r="G7" s="473"/>
      <c r="H7" s="485" t="str">
        <f t="shared" si="0"/>
        <v>----</v>
      </c>
      <c r="I7" s="486"/>
      <c r="J7" s="451" t="str">
        <f t="shared" si="1"/>
        <v>----</v>
      </c>
    </row>
    <row r="8" spans="1:10" s="432" customFormat="1">
      <c r="A8" s="449"/>
      <c r="B8" s="450"/>
      <c r="C8" s="446"/>
      <c r="D8" s="466"/>
      <c r="E8" s="473"/>
      <c r="F8" s="485" t="str">
        <f t="shared" si="2"/>
        <v>----</v>
      </c>
      <c r="G8" s="473"/>
      <c r="H8" s="485" t="str">
        <f t="shared" si="0"/>
        <v>----</v>
      </c>
      <c r="I8" s="486"/>
      <c r="J8" s="451" t="str">
        <f t="shared" si="1"/>
        <v>----</v>
      </c>
    </row>
    <row r="9" spans="1:10" s="432" customFormat="1">
      <c r="A9" s="449"/>
      <c r="B9" s="450"/>
      <c r="C9" s="446"/>
      <c r="D9" s="466"/>
      <c r="E9" s="473"/>
      <c r="F9" s="485" t="str">
        <f t="shared" si="2"/>
        <v>----</v>
      </c>
      <c r="G9" s="473"/>
      <c r="H9" s="485" t="str">
        <f t="shared" si="0"/>
        <v>----</v>
      </c>
      <c r="I9" s="486"/>
      <c r="J9" s="451" t="str">
        <f t="shared" si="1"/>
        <v>----</v>
      </c>
    </row>
    <row r="10" spans="1:10" s="432" customFormat="1">
      <c r="A10" s="449"/>
      <c r="B10" s="450"/>
      <c r="C10" s="446"/>
      <c r="D10" s="466"/>
      <c r="E10" s="473"/>
      <c r="F10" s="485" t="str">
        <f t="shared" si="2"/>
        <v>----</v>
      </c>
      <c r="G10" s="473"/>
      <c r="H10" s="485" t="str">
        <f t="shared" si="0"/>
        <v>----</v>
      </c>
      <c r="I10" s="486"/>
      <c r="J10" s="451" t="str">
        <f t="shared" si="1"/>
        <v>----</v>
      </c>
    </row>
    <row r="11" spans="1:10" s="432" customFormat="1">
      <c r="A11" s="449"/>
      <c r="B11" s="450"/>
      <c r="C11" s="446"/>
      <c r="D11" s="466"/>
      <c r="E11" s="473"/>
      <c r="F11" s="485" t="str">
        <f t="shared" si="2"/>
        <v>----</v>
      </c>
      <c r="G11" s="473"/>
      <c r="H11" s="485" t="str">
        <f t="shared" si="0"/>
        <v>----</v>
      </c>
      <c r="I11" s="486"/>
      <c r="J11" s="451" t="str">
        <f t="shared" si="1"/>
        <v>----</v>
      </c>
    </row>
    <row r="12" spans="1:10" s="432" customFormat="1">
      <c r="A12" s="449"/>
      <c r="B12" s="450"/>
      <c r="C12" s="446"/>
      <c r="D12" s="466"/>
      <c r="E12" s="473"/>
      <c r="F12" s="485" t="str">
        <f t="shared" si="2"/>
        <v>----</v>
      </c>
      <c r="G12" s="473"/>
      <c r="H12" s="485" t="str">
        <f t="shared" si="0"/>
        <v>----</v>
      </c>
      <c r="I12" s="486"/>
      <c r="J12" s="451" t="str">
        <f t="shared" si="1"/>
        <v>----</v>
      </c>
    </row>
    <row r="13" spans="1:10" s="432" customFormat="1">
      <c r="A13" s="449"/>
      <c r="B13" s="450"/>
      <c r="C13" s="446"/>
      <c r="D13" s="466"/>
      <c r="E13" s="473"/>
      <c r="F13" s="485" t="str">
        <f t="shared" si="2"/>
        <v>----</v>
      </c>
      <c r="G13" s="473"/>
      <c r="H13" s="485" t="str">
        <f t="shared" si="0"/>
        <v>----</v>
      </c>
      <c r="I13" s="486"/>
      <c r="J13" s="451" t="str">
        <f t="shared" si="1"/>
        <v>----</v>
      </c>
    </row>
    <row r="14" spans="1:10" s="432" customFormat="1">
      <c r="A14" s="449"/>
      <c r="B14" s="450"/>
      <c r="C14" s="446"/>
      <c r="D14" s="466"/>
      <c r="E14" s="473"/>
      <c r="F14" s="485" t="str">
        <f t="shared" si="2"/>
        <v>----</v>
      </c>
      <c r="G14" s="473"/>
      <c r="H14" s="485" t="str">
        <f t="shared" si="0"/>
        <v>----</v>
      </c>
      <c r="I14" s="486"/>
      <c r="J14" s="451" t="str">
        <f t="shared" si="1"/>
        <v>----</v>
      </c>
    </row>
    <row r="15" spans="1:10" s="432" customFormat="1">
      <c r="A15" s="449"/>
      <c r="B15" s="450"/>
      <c r="C15" s="446"/>
      <c r="D15" s="466"/>
      <c r="E15" s="473"/>
      <c r="F15" s="485" t="str">
        <f t="shared" si="2"/>
        <v>----</v>
      </c>
      <c r="G15" s="473"/>
      <c r="H15" s="485" t="str">
        <f t="shared" si="0"/>
        <v>----</v>
      </c>
      <c r="I15" s="486"/>
      <c r="J15" s="451" t="str">
        <f t="shared" si="1"/>
        <v>----</v>
      </c>
    </row>
    <row r="16" spans="1:10" s="432" customFormat="1">
      <c r="A16" s="449"/>
      <c r="B16" s="450"/>
      <c r="C16" s="446"/>
      <c r="D16" s="466"/>
      <c r="E16" s="473"/>
      <c r="F16" s="485" t="str">
        <f t="shared" si="2"/>
        <v>----</v>
      </c>
      <c r="G16" s="473"/>
      <c r="H16" s="485" t="str">
        <f t="shared" si="0"/>
        <v>----</v>
      </c>
      <c r="I16" s="486"/>
      <c r="J16" s="451" t="str">
        <f t="shared" si="1"/>
        <v>----</v>
      </c>
    </row>
    <row r="17" spans="1:10" s="432" customFormat="1">
      <c r="A17" s="449"/>
      <c r="B17" s="450"/>
      <c r="C17" s="446"/>
      <c r="D17" s="466"/>
      <c r="E17" s="473"/>
      <c r="F17" s="485" t="str">
        <f t="shared" si="2"/>
        <v>----</v>
      </c>
      <c r="G17" s="473"/>
      <c r="H17" s="485" t="str">
        <f t="shared" si="0"/>
        <v>----</v>
      </c>
      <c r="I17" s="486"/>
      <c r="J17" s="451" t="str">
        <f t="shared" si="1"/>
        <v>----</v>
      </c>
    </row>
    <row r="18" spans="1:10" s="432" customFormat="1">
      <c r="A18" s="449"/>
      <c r="B18" s="450"/>
      <c r="C18" s="446"/>
      <c r="D18" s="466"/>
      <c r="E18" s="473"/>
      <c r="F18" s="485" t="str">
        <f t="shared" si="2"/>
        <v>----</v>
      </c>
      <c r="G18" s="473"/>
      <c r="H18" s="485" t="str">
        <f t="shared" si="0"/>
        <v>----</v>
      </c>
      <c r="I18" s="486"/>
      <c r="J18" s="451" t="str">
        <f t="shared" si="1"/>
        <v>----</v>
      </c>
    </row>
    <row r="19" spans="1:10" s="432" customFormat="1">
      <c r="A19" s="449"/>
      <c r="B19" s="450"/>
      <c r="C19" s="446"/>
      <c r="D19" s="466"/>
      <c r="E19" s="473"/>
      <c r="F19" s="485" t="str">
        <f t="shared" si="2"/>
        <v>----</v>
      </c>
      <c r="G19" s="473"/>
      <c r="H19" s="485" t="str">
        <f t="shared" si="0"/>
        <v>----</v>
      </c>
      <c r="I19" s="486"/>
      <c r="J19" s="451" t="str">
        <f t="shared" si="1"/>
        <v>----</v>
      </c>
    </row>
    <row r="20" spans="1:10" s="432" customFormat="1">
      <c r="A20" s="449"/>
      <c r="B20" s="450"/>
      <c r="C20" s="446"/>
      <c r="D20" s="466"/>
      <c r="E20" s="473"/>
      <c r="F20" s="485" t="str">
        <f t="shared" si="2"/>
        <v>----</v>
      </c>
      <c r="G20" s="473"/>
      <c r="H20" s="485" t="str">
        <f t="shared" si="0"/>
        <v>----</v>
      </c>
      <c r="I20" s="486"/>
      <c r="J20" s="451" t="str">
        <f t="shared" si="1"/>
        <v>----</v>
      </c>
    </row>
    <row r="21" spans="1:10">
      <c r="A21" s="452"/>
      <c r="B21" s="453"/>
      <c r="C21" s="454"/>
      <c r="D21" s="467"/>
      <c r="E21" s="474"/>
      <c r="F21" s="487" t="str">
        <f t="shared" si="2"/>
        <v>----</v>
      </c>
      <c r="G21" s="474"/>
      <c r="H21" s="487" t="str">
        <f t="shared" si="0"/>
        <v>----</v>
      </c>
      <c r="I21" s="488"/>
      <c r="J21" s="455" t="str">
        <f t="shared" si="1"/>
        <v>----</v>
      </c>
    </row>
    <row r="22" spans="1:10" ht="15.75" thickBot="1">
      <c r="A22" s="74"/>
      <c r="B22" s="75"/>
      <c r="C22" s="76"/>
      <c r="D22" s="430"/>
      <c r="E22" s="475"/>
      <c r="F22" s="476" t="str">
        <f t="shared" si="2"/>
        <v>----</v>
      </c>
      <c r="G22" s="475"/>
      <c r="H22" s="476" t="str">
        <f t="shared" si="0"/>
        <v>----</v>
      </c>
      <c r="I22" s="481"/>
      <c r="J22" s="77" t="str">
        <f t="shared" si="1"/>
        <v>----</v>
      </c>
    </row>
    <row r="23" spans="1:10" ht="15.75" thickBot="1">
      <c r="A23" s="27"/>
      <c r="B23" s="27"/>
      <c r="C23" s="28"/>
      <c r="D23" s="28"/>
      <c r="E23" s="439"/>
      <c r="F23" s="441">
        <f>SUM(F4:F22)</f>
        <v>0</v>
      </c>
      <c r="G23" s="439"/>
      <c r="H23" s="441">
        <f>SUM(H4:H22)</f>
        <v>-118683.97999999998</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3850B-AE33-4D95-A8BA-1049B21D568A}">
  <dimension ref="A1:J22"/>
  <sheetViews>
    <sheetView workbookViewId="0">
      <selection activeCell="F15" sqref="F15"/>
    </sheetView>
  </sheetViews>
  <sheetFormatPr defaultRowHeight="15"/>
  <cols>
    <col min="2" max="2" width="22.85546875" bestFit="1" customWidth="1"/>
    <col min="3" max="3" width="10.7109375" bestFit="1" customWidth="1"/>
    <col min="4" max="4" width="11.5703125" customWidth="1"/>
    <col min="5" max="5" width="11" style="432" customWidth="1"/>
    <col min="6" max="6" width="15.140625" style="432" customWidth="1"/>
    <col min="7" max="7" width="11" style="432" customWidth="1"/>
    <col min="8" max="8" width="15.140625" style="432" customWidth="1"/>
    <col min="9" max="9" width="11" customWidth="1"/>
    <col min="10" max="10" width="15.140625" customWidth="1"/>
  </cols>
  <sheetData>
    <row r="1" spans="1:10" ht="15.75" thickBot="1">
      <c r="A1" s="952" t="s">
        <v>176</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48" customHeight="1" thickBot="1">
      <c r="A3" s="960"/>
      <c r="B3" s="962"/>
      <c r="C3" s="962"/>
      <c r="D3" s="974"/>
      <c r="E3" s="460" t="s">
        <v>121</v>
      </c>
      <c r="F3" s="468" t="s">
        <v>704</v>
      </c>
      <c r="G3" s="460" t="s">
        <v>121</v>
      </c>
      <c r="H3" s="468" t="s">
        <v>704</v>
      </c>
      <c r="I3" s="478" t="s">
        <v>121</v>
      </c>
      <c r="J3" s="25" t="s">
        <v>704</v>
      </c>
    </row>
    <row r="4" spans="1:10">
      <c r="A4" s="70">
        <v>43852</v>
      </c>
      <c r="B4" s="71" t="s">
        <v>208</v>
      </c>
      <c r="C4" s="72">
        <v>255991.95</v>
      </c>
      <c r="D4" s="429">
        <f>C4</f>
        <v>255991.95</v>
      </c>
      <c r="E4" s="469"/>
      <c r="F4" s="470" t="str">
        <f>IF(ISBLANK(E4),"----",E4-$D4)</f>
        <v>----</v>
      </c>
      <c r="G4" s="469"/>
      <c r="H4" s="470" t="str">
        <f t="shared" ref="H4:H21" si="0">IF(OR(G4="Complete",ISBLANK(G4)),"----",G4-$D4)</f>
        <v>----</v>
      </c>
      <c r="I4" s="479"/>
      <c r="J4" s="73" t="str">
        <f t="shared" ref="J4:J21" si="1">IF(OR(I4="Complete",ISBLANK(I4)),"----",I4-$D4)</f>
        <v>----</v>
      </c>
    </row>
    <row r="5" spans="1:10">
      <c r="A5" s="91">
        <v>43879</v>
      </c>
      <c r="B5" s="92" t="s">
        <v>216</v>
      </c>
      <c r="C5" s="84">
        <v>293635</v>
      </c>
      <c r="D5" s="477">
        <f>C5</f>
        <v>293635</v>
      </c>
      <c r="E5" s="482">
        <v>282077.57</v>
      </c>
      <c r="F5" s="521">
        <f t="shared" ref="F5:F21" si="2">IF(ISBLANK(E5),"----",E5-$D5)</f>
        <v>-11557.429999999993</v>
      </c>
      <c r="G5" s="482" t="s">
        <v>703</v>
      </c>
      <c r="H5" s="521" t="str">
        <f t="shared" si="0"/>
        <v>----</v>
      </c>
      <c r="I5" s="480" t="s">
        <v>703</v>
      </c>
      <c r="J5" s="140" t="str">
        <f t="shared" si="1"/>
        <v>----</v>
      </c>
    </row>
    <row r="6" spans="1:10">
      <c r="A6" s="102">
        <v>44580</v>
      </c>
      <c r="B6" s="103" t="s">
        <v>489</v>
      </c>
      <c r="C6" s="87">
        <v>883349.55</v>
      </c>
      <c r="D6" s="466">
        <v>549153.77</v>
      </c>
      <c r="E6" s="473"/>
      <c r="F6" s="521" t="str">
        <f t="shared" si="2"/>
        <v>----</v>
      </c>
      <c r="G6" s="473"/>
      <c r="H6" s="521" t="str">
        <f t="shared" si="0"/>
        <v>----</v>
      </c>
      <c r="I6" s="486"/>
      <c r="J6" s="140" t="str">
        <f t="shared" si="1"/>
        <v>----</v>
      </c>
    </row>
    <row r="7" spans="1:10">
      <c r="A7" s="102">
        <v>44880</v>
      </c>
      <c r="B7" s="103" t="s">
        <v>589</v>
      </c>
      <c r="C7" s="87">
        <v>415576</v>
      </c>
      <c r="D7" s="466">
        <f>C7</f>
        <v>415576</v>
      </c>
      <c r="E7" s="473">
        <v>413531.99</v>
      </c>
      <c r="F7" s="521">
        <f t="shared" si="2"/>
        <v>-2044.0100000000093</v>
      </c>
      <c r="G7" s="473" t="s">
        <v>703</v>
      </c>
      <c r="H7" s="521" t="str">
        <f t="shared" si="0"/>
        <v>----</v>
      </c>
      <c r="I7" s="486" t="s">
        <v>703</v>
      </c>
      <c r="J7" s="140" t="str">
        <f t="shared" si="1"/>
        <v>----</v>
      </c>
    </row>
    <row r="8" spans="1:10">
      <c r="A8" s="102">
        <v>45461</v>
      </c>
      <c r="B8" s="450" t="s">
        <v>754</v>
      </c>
      <c r="C8" s="370">
        <v>374905</v>
      </c>
      <c r="D8" s="559">
        <f>C8</f>
        <v>374905</v>
      </c>
      <c r="E8" s="473"/>
      <c r="F8" s="521" t="str">
        <f t="shared" si="2"/>
        <v>----</v>
      </c>
      <c r="G8" s="473"/>
      <c r="H8" s="521" t="str">
        <f t="shared" si="0"/>
        <v>----</v>
      </c>
      <c r="I8" s="486"/>
      <c r="J8" s="140" t="str">
        <f t="shared" si="1"/>
        <v>----</v>
      </c>
    </row>
    <row r="9" spans="1:10">
      <c r="A9" s="102">
        <v>45679</v>
      </c>
      <c r="B9" s="721" t="s">
        <v>814</v>
      </c>
      <c r="C9" s="593">
        <v>342999.76</v>
      </c>
      <c r="D9" s="594">
        <f>C9</f>
        <v>342999.76</v>
      </c>
      <c r="E9" s="473"/>
      <c r="F9" s="521" t="str">
        <f t="shared" si="2"/>
        <v>----</v>
      </c>
      <c r="G9" s="473"/>
      <c r="H9" s="521" t="str">
        <f t="shared" si="0"/>
        <v>----</v>
      </c>
      <c r="I9" s="486"/>
      <c r="J9" s="140" t="str">
        <f t="shared" si="1"/>
        <v>----</v>
      </c>
    </row>
    <row r="10" spans="1:10">
      <c r="A10" s="102"/>
      <c r="B10" s="103"/>
      <c r="C10" s="370"/>
      <c r="D10" s="559"/>
      <c r="E10" s="473"/>
      <c r="F10" s="521" t="str">
        <f t="shared" si="2"/>
        <v>----</v>
      </c>
      <c r="G10" s="473"/>
      <c r="H10" s="521" t="str">
        <f t="shared" si="0"/>
        <v>----</v>
      </c>
      <c r="I10" s="486"/>
      <c r="J10" s="140" t="str">
        <f t="shared" si="1"/>
        <v>----</v>
      </c>
    </row>
    <row r="11" spans="1:10">
      <c r="A11" s="102"/>
      <c r="B11" s="103"/>
      <c r="C11" s="370"/>
      <c r="D11" s="559"/>
      <c r="E11" s="473"/>
      <c r="F11" s="521" t="str">
        <f t="shared" si="2"/>
        <v>----</v>
      </c>
      <c r="G11" s="473"/>
      <c r="H11" s="521" t="str">
        <f t="shared" si="0"/>
        <v>----</v>
      </c>
      <c r="I11" s="486"/>
      <c r="J11" s="140" t="str">
        <f t="shared" si="1"/>
        <v>----</v>
      </c>
    </row>
    <row r="12" spans="1:10">
      <c r="A12" s="102"/>
      <c r="B12" s="103"/>
      <c r="C12" s="370"/>
      <c r="D12" s="559"/>
      <c r="E12" s="473"/>
      <c r="F12" s="521" t="str">
        <f t="shared" si="2"/>
        <v>----</v>
      </c>
      <c r="G12" s="473"/>
      <c r="H12" s="521" t="str">
        <f t="shared" si="0"/>
        <v>----</v>
      </c>
      <c r="I12" s="486"/>
      <c r="J12" s="140" t="str">
        <f t="shared" si="1"/>
        <v>----</v>
      </c>
    </row>
    <row r="13" spans="1:10">
      <c r="A13" s="102"/>
      <c r="B13" s="103"/>
      <c r="C13" s="370"/>
      <c r="D13" s="559"/>
      <c r="E13" s="473"/>
      <c r="F13" s="521" t="str">
        <f t="shared" si="2"/>
        <v>----</v>
      </c>
      <c r="G13" s="473"/>
      <c r="H13" s="521" t="str">
        <f t="shared" si="0"/>
        <v>----</v>
      </c>
      <c r="I13" s="486"/>
      <c r="J13" s="140" t="str">
        <f t="shared" si="1"/>
        <v>----</v>
      </c>
    </row>
    <row r="14" spans="1:10">
      <c r="A14" s="102"/>
      <c r="B14" s="103"/>
      <c r="C14" s="370"/>
      <c r="D14" s="559"/>
      <c r="E14" s="473"/>
      <c r="F14" s="521" t="str">
        <f t="shared" si="2"/>
        <v>----</v>
      </c>
      <c r="G14" s="473"/>
      <c r="H14" s="521" t="str">
        <f t="shared" si="0"/>
        <v>----</v>
      </c>
      <c r="I14" s="486"/>
      <c r="J14" s="140" t="str">
        <f t="shared" si="1"/>
        <v>----</v>
      </c>
    </row>
    <row r="15" spans="1:10">
      <c r="A15" s="102"/>
      <c r="B15" s="103"/>
      <c r="C15" s="370"/>
      <c r="D15" s="559"/>
      <c r="E15" s="473"/>
      <c r="F15" s="521" t="str">
        <f t="shared" si="2"/>
        <v>----</v>
      </c>
      <c r="G15" s="473"/>
      <c r="H15" s="521" t="str">
        <f t="shared" si="0"/>
        <v>----</v>
      </c>
      <c r="I15" s="486"/>
      <c r="J15" s="140" t="str">
        <f t="shared" si="1"/>
        <v>----</v>
      </c>
    </row>
    <row r="16" spans="1:10">
      <c r="A16" s="102"/>
      <c r="B16" s="103"/>
      <c r="C16" s="370"/>
      <c r="D16" s="559"/>
      <c r="E16" s="473"/>
      <c r="F16" s="521" t="str">
        <f t="shared" si="2"/>
        <v>----</v>
      </c>
      <c r="G16" s="473"/>
      <c r="H16" s="521" t="str">
        <f t="shared" si="0"/>
        <v>----</v>
      </c>
      <c r="I16" s="486"/>
      <c r="J16" s="140" t="str">
        <f t="shared" si="1"/>
        <v>----</v>
      </c>
    </row>
    <row r="17" spans="1:10">
      <c r="A17" s="102"/>
      <c r="B17" s="103"/>
      <c r="C17" s="370"/>
      <c r="D17" s="559"/>
      <c r="E17" s="473"/>
      <c r="F17" s="521" t="str">
        <f t="shared" si="2"/>
        <v>----</v>
      </c>
      <c r="G17" s="473"/>
      <c r="H17" s="521" t="str">
        <f t="shared" si="0"/>
        <v>----</v>
      </c>
      <c r="I17" s="486"/>
      <c r="J17" s="140" t="str">
        <f t="shared" si="1"/>
        <v>----</v>
      </c>
    </row>
    <row r="18" spans="1:10">
      <c r="A18" s="102"/>
      <c r="B18" s="103"/>
      <c r="C18" s="370"/>
      <c r="D18" s="559"/>
      <c r="E18" s="473"/>
      <c r="F18" s="521" t="str">
        <f t="shared" si="2"/>
        <v>----</v>
      </c>
      <c r="G18" s="473"/>
      <c r="H18" s="521" t="str">
        <f t="shared" si="0"/>
        <v>----</v>
      </c>
      <c r="I18" s="486"/>
      <c r="J18" s="140" t="str">
        <f t="shared" si="1"/>
        <v>----</v>
      </c>
    </row>
    <row r="19" spans="1:10">
      <c r="A19" s="102"/>
      <c r="B19" s="103"/>
      <c r="C19" s="370"/>
      <c r="D19" s="559"/>
      <c r="E19" s="473"/>
      <c r="F19" s="521" t="str">
        <f t="shared" si="2"/>
        <v>----</v>
      </c>
      <c r="G19" s="473"/>
      <c r="H19" s="521" t="str">
        <f t="shared" si="0"/>
        <v>----</v>
      </c>
      <c r="I19" s="486"/>
      <c r="J19" s="140" t="str">
        <f t="shared" si="1"/>
        <v>----</v>
      </c>
    </row>
    <row r="20" spans="1:10">
      <c r="A20" s="116"/>
      <c r="B20" s="117"/>
      <c r="C20" s="602"/>
      <c r="D20" s="603"/>
      <c r="E20" s="474"/>
      <c r="F20" s="521" t="str">
        <f t="shared" si="2"/>
        <v>----</v>
      </c>
      <c r="G20" s="474"/>
      <c r="H20" s="521" t="str">
        <f t="shared" si="0"/>
        <v>----</v>
      </c>
      <c r="I20" s="488"/>
      <c r="J20" s="140" t="str">
        <f t="shared" si="1"/>
        <v>----</v>
      </c>
    </row>
    <row r="21" spans="1:10" ht="15.75" thickBot="1">
      <c r="A21" s="74"/>
      <c r="B21" s="75"/>
      <c r="C21" s="373"/>
      <c r="D21" s="527"/>
      <c r="E21" s="475"/>
      <c r="F21" s="476" t="str">
        <f t="shared" si="2"/>
        <v>----</v>
      </c>
      <c r="G21" s="475"/>
      <c r="H21" s="476" t="str">
        <f t="shared" si="0"/>
        <v>----</v>
      </c>
      <c r="I21" s="481"/>
      <c r="J21" s="77" t="str">
        <f t="shared" si="1"/>
        <v>----</v>
      </c>
    </row>
    <row r="22" spans="1:10" ht="15.75" thickBot="1">
      <c r="A22" s="27"/>
      <c r="B22" s="27"/>
      <c r="C22" s="28"/>
      <c r="D22" s="28"/>
      <c r="E22" s="439"/>
      <c r="F22" s="441">
        <f>SUM(F4:F21)</f>
        <v>-13601.440000000002</v>
      </c>
      <c r="G22" s="439"/>
      <c r="H22" s="441">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9F6C-D551-4F9D-A609-6AF2D3B8B5F3}">
  <dimension ref="A1:K24"/>
  <sheetViews>
    <sheetView workbookViewId="0">
      <selection activeCell="D10" sqref="D10"/>
    </sheetView>
  </sheetViews>
  <sheetFormatPr defaultRowHeight="15"/>
  <cols>
    <col min="2" max="2" width="23.5703125" bestFit="1" customWidth="1"/>
    <col min="3" max="3" width="12.5703125" bestFit="1" customWidth="1"/>
    <col min="4" max="4" width="10.7109375" bestFit="1" customWidth="1"/>
    <col min="5" max="5" width="10.7109375" style="432" bestFit="1" customWidth="1"/>
    <col min="6" max="6" width="9.85546875" style="432" bestFit="1" customWidth="1"/>
    <col min="7" max="7" width="10.7109375" style="432" bestFit="1" customWidth="1"/>
    <col min="8" max="8" width="9.85546875" style="432" bestFit="1" customWidth="1"/>
    <col min="9" max="9" width="10.7109375" bestFit="1" customWidth="1"/>
    <col min="10" max="10" width="9.85546875" bestFit="1" customWidth="1"/>
  </cols>
  <sheetData>
    <row r="1" spans="1:11" ht="15.75" thickBot="1">
      <c r="A1" s="952" t="s">
        <v>254</v>
      </c>
      <c r="B1" s="953"/>
      <c r="C1" s="953"/>
      <c r="D1" s="953"/>
      <c r="E1" s="953"/>
      <c r="F1" s="953"/>
      <c r="G1" s="953"/>
      <c r="H1" s="953"/>
      <c r="I1" s="953"/>
      <c r="J1" s="954"/>
    </row>
    <row r="2" spans="1:11" s="432" customFormat="1">
      <c r="A2" s="959" t="s">
        <v>110</v>
      </c>
      <c r="B2" s="961" t="s">
        <v>111</v>
      </c>
      <c r="C2" s="961" t="s">
        <v>112</v>
      </c>
      <c r="D2" s="963" t="s">
        <v>120</v>
      </c>
      <c r="E2" s="957" t="s">
        <v>701</v>
      </c>
      <c r="F2" s="958"/>
      <c r="G2" s="957" t="s">
        <v>702</v>
      </c>
      <c r="H2" s="958"/>
      <c r="I2" s="932" t="s">
        <v>796</v>
      </c>
      <c r="J2" s="933"/>
    </row>
    <row r="3" spans="1:11" ht="57.75" thickBot="1">
      <c r="A3" s="960"/>
      <c r="B3" s="962"/>
      <c r="C3" s="962"/>
      <c r="D3" s="964"/>
      <c r="E3" s="460" t="s">
        <v>121</v>
      </c>
      <c r="F3" s="468" t="s">
        <v>704</v>
      </c>
      <c r="G3" s="460" t="s">
        <v>121</v>
      </c>
      <c r="H3" s="468" t="s">
        <v>704</v>
      </c>
      <c r="I3" s="478" t="s">
        <v>121</v>
      </c>
      <c r="J3" s="25" t="s">
        <v>704</v>
      </c>
    </row>
    <row r="4" spans="1:11">
      <c r="A4" s="70">
        <v>44334</v>
      </c>
      <c r="B4" s="71" t="s">
        <v>428</v>
      </c>
      <c r="C4" s="698">
        <v>587812.59</v>
      </c>
      <c r="D4" s="701">
        <f>C4</f>
        <v>587812.59</v>
      </c>
      <c r="E4" s="707"/>
      <c r="F4" s="712" t="str">
        <f>IF(ISBLANK(E4),"----",E4-$D4)</f>
        <v>----</v>
      </c>
      <c r="G4" s="707">
        <v>596828.91</v>
      </c>
      <c r="H4" s="712">
        <f t="shared" ref="H4:H23" si="0">IF(OR(G4="Complete",ISBLANK(G4)),"----",G4-$D4)</f>
        <v>9016.3200000000652</v>
      </c>
      <c r="I4" s="704" t="s">
        <v>703</v>
      </c>
      <c r="J4" s="713" t="str">
        <f t="shared" ref="J4:J23" si="1">IF(OR(I4="Complete",ISBLANK(I4)),"----",I4-$D4)</f>
        <v>----</v>
      </c>
    </row>
    <row r="5" spans="1:11">
      <c r="A5" s="88">
        <v>44397</v>
      </c>
      <c r="B5" s="101" t="s">
        <v>438</v>
      </c>
      <c r="C5" s="700">
        <v>172277.9</v>
      </c>
      <c r="D5" s="702">
        <f>C5</f>
        <v>172277.9</v>
      </c>
      <c r="E5" s="708">
        <v>224668.51</v>
      </c>
      <c r="F5" s="714">
        <f t="shared" ref="F5:F23" si="2">IF(ISBLANK(E5),"----",E5-$D5)</f>
        <v>52390.610000000015</v>
      </c>
      <c r="G5" s="708" t="s">
        <v>703</v>
      </c>
      <c r="H5" s="714" t="str">
        <f t="shared" si="0"/>
        <v>----</v>
      </c>
      <c r="I5" s="705" t="s">
        <v>703</v>
      </c>
      <c r="J5" s="715" t="str">
        <f t="shared" si="1"/>
        <v>----</v>
      </c>
    </row>
    <row r="6" spans="1:11">
      <c r="A6" s="88">
        <v>45308</v>
      </c>
      <c r="B6" s="101" t="s">
        <v>713</v>
      </c>
      <c r="C6" s="700">
        <v>360074.6</v>
      </c>
      <c r="D6" s="702">
        <f>C6</f>
        <v>360074.6</v>
      </c>
      <c r="E6" s="708"/>
      <c r="F6" s="714" t="str">
        <f t="shared" si="2"/>
        <v>----</v>
      </c>
      <c r="G6" s="708"/>
      <c r="H6" s="714" t="str">
        <f t="shared" si="0"/>
        <v>----</v>
      </c>
      <c r="I6" s="705"/>
      <c r="J6" s="715" t="str">
        <f t="shared" si="1"/>
        <v>----</v>
      </c>
    </row>
    <row r="7" spans="1:11">
      <c r="A7" s="88">
        <f>Scott!A8</f>
        <v>45308</v>
      </c>
      <c r="B7" s="101" t="str">
        <f>Scott!B8</f>
        <v>BRS-C082(65)--60-82</v>
      </c>
      <c r="C7" s="700">
        <f>1/2*(2961328.63-500000-1500000)</f>
        <v>480664.31499999994</v>
      </c>
      <c r="D7" s="702">
        <f>Scott!D8</f>
        <v>480664.31499999994</v>
      </c>
      <c r="E7" s="708"/>
      <c r="F7" s="714" t="str">
        <f t="shared" si="2"/>
        <v>----</v>
      </c>
      <c r="G7" s="708"/>
      <c r="H7" s="714" t="str">
        <f t="shared" si="0"/>
        <v>----</v>
      </c>
      <c r="I7" s="705"/>
      <c r="J7" s="715" t="str">
        <f t="shared" si="1"/>
        <v>----</v>
      </c>
      <c r="K7" s="432" t="s">
        <v>722</v>
      </c>
    </row>
    <row r="8" spans="1:11">
      <c r="A8" s="696">
        <v>45643</v>
      </c>
      <c r="B8" s="697" t="s">
        <v>800</v>
      </c>
      <c r="C8" s="700">
        <v>2271892</v>
      </c>
      <c r="D8" s="702">
        <f>C8</f>
        <v>2271892</v>
      </c>
      <c r="E8" s="708"/>
      <c r="F8" s="714" t="str">
        <f t="shared" si="2"/>
        <v>----</v>
      </c>
      <c r="G8" s="708"/>
      <c r="H8" s="714" t="str">
        <f t="shared" si="0"/>
        <v>----</v>
      </c>
      <c r="I8" s="705"/>
      <c r="J8" s="715" t="str">
        <f t="shared" si="1"/>
        <v>----</v>
      </c>
    </row>
    <row r="9" spans="1:11">
      <c r="A9" s="88">
        <v>45706</v>
      </c>
      <c r="B9" s="697" t="s">
        <v>835</v>
      </c>
      <c r="C9" s="784">
        <v>281286</v>
      </c>
      <c r="D9" s="702">
        <f>C9</f>
        <v>281286</v>
      </c>
      <c r="E9" s="708"/>
      <c r="F9" s="714" t="str">
        <f t="shared" si="2"/>
        <v>----</v>
      </c>
      <c r="G9" s="708"/>
      <c r="H9" s="714" t="str">
        <f t="shared" si="0"/>
        <v>----</v>
      </c>
      <c r="I9" s="705"/>
      <c r="J9" s="715" t="str">
        <f t="shared" si="1"/>
        <v>----</v>
      </c>
    </row>
    <row r="10" spans="1:11">
      <c r="A10" s="88"/>
      <c r="B10" s="101"/>
      <c r="C10" s="700"/>
      <c r="D10" s="702"/>
      <c r="E10" s="708"/>
      <c r="F10" s="714" t="str">
        <f t="shared" si="2"/>
        <v>----</v>
      </c>
      <c r="G10" s="708"/>
      <c r="H10" s="714" t="str">
        <f t="shared" si="0"/>
        <v>----</v>
      </c>
      <c r="I10" s="705"/>
      <c r="J10" s="715" t="str">
        <f t="shared" si="1"/>
        <v>----</v>
      </c>
    </row>
    <row r="11" spans="1:11">
      <c r="A11" s="88"/>
      <c r="B11" s="101"/>
      <c r="C11" s="700"/>
      <c r="D11" s="702"/>
      <c r="E11" s="708"/>
      <c r="F11" s="714" t="str">
        <f t="shared" si="2"/>
        <v>----</v>
      </c>
      <c r="G11" s="708"/>
      <c r="H11" s="714" t="str">
        <f t="shared" si="0"/>
        <v>----</v>
      </c>
      <c r="I11" s="705"/>
      <c r="J11" s="715" t="str">
        <f t="shared" si="1"/>
        <v>----</v>
      </c>
    </row>
    <row r="12" spans="1:11">
      <c r="A12" s="88"/>
      <c r="B12" s="101"/>
      <c r="C12" s="700"/>
      <c r="D12" s="702"/>
      <c r="E12" s="708"/>
      <c r="F12" s="714" t="str">
        <f t="shared" si="2"/>
        <v>----</v>
      </c>
      <c r="G12" s="708"/>
      <c r="H12" s="714" t="str">
        <f t="shared" si="0"/>
        <v>----</v>
      </c>
      <c r="I12" s="705"/>
      <c r="J12" s="715" t="str">
        <f t="shared" si="1"/>
        <v>----</v>
      </c>
    </row>
    <row r="13" spans="1:11">
      <c r="A13" s="88"/>
      <c r="B13" s="101"/>
      <c r="C13" s="700"/>
      <c r="D13" s="702"/>
      <c r="E13" s="708"/>
      <c r="F13" s="714" t="str">
        <f t="shared" si="2"/>
        <v>----</v>
      </c>
      <c r="G13" s="708"/>
      <c r="H13" s="714" t="str">
        <f t="shared" si="0"/>
        <v>----</v>
      </c>
      <c r="I13" s="705"/>
      <c r="J13" s="715" t="str">
        <f t="shared" si="1"/>
        <v>----</v>
      </c>
    </row>
    <row r="14" spans="1:11">
      <c r="A14" s="88"/>
      <c r="B14" s="101"/>
      <c r="C14" s="700"/>
      <c r="D14" s="702"/>
      <c r="E14" s="708"/>
      <c r="F14" s="714" t="str">
        <f t="shared" si="2"/>
        <v>----</v>
      </c>
      <c r="G14" s="708"/>
      <c r="H14" s="714" t="str">
        <f t="shared" si="0"/>
        <v>----</v>
      </c>
      <c r="I14" s="705"/>
      <c r="J14" s="715" t="str">
        <f t="shared" si="1"/>
        <v>----</v>
      </c>
    </row>
    <row r="15" spans="1:11">
      <c r="A15" s="88"/>
      <c r="B15" s="101"/>
      <c r="C15" s="700"/>
      <c r="D15" s="702"/>
      <c r="E15" s="708"/>
      <c r="F15" s="714" t="str">
        <f t="shared" si="2"/>
        <v>----</v>
      </c>
      <c r="G15" s="708"/>
      <c r="H15" s="714" t="str">
        <f t="shared" si="0"/>
        <v>----</v>
      </c>
      <c r="I15" s="705"/>
      <c r="J15" s="715" t="str">
        <f t="shared" si="1"/>
        <v>----</v>
      </c>
    </row>
    <row r="16" spans="1:11">
      <c r="A16" s="88"/>
      <c r="B16" s="101"/>
      <c r="C16" s="700"/>
      <c r="D16" s="702"/>
      <c r="E16" s="708"/>
      <c r="F16" s="714" t="str">
        <f t="shared" si="2"/>
        <v>----</v>
      </c>
      <c r="G16" s="708"/>
      <c r="H16" s="714" t="str">
        <f t="shared" si="0"/>
        <v>----</v>
      </c>
      <c r="I16" s="705"/>
      <c r="J16" s="715" t="str">
        <f t="shared" si="1"/>
        <v>----</v>
      </c>
    </row>
    <row r="17" spans="1:10">
      <c r="A17" s="88"/>
      <c r="B17" s="101"/>
      <c r="C17" s="700"/>
      <c r="D17" s="702"/>
      <c r="E17" s="708"/>
      <c r="F17" s="714" t="str">
        <f t="shared" si="2"/>
        <v>----</v>
      </c>
      <c r="G17" s="708"/>
      <c r="H17" s="714" t="str">
        <f t="shared" si="0"/>
        <v>----</v>
      </c>
      <c r="I17" s="705"/>
      <c r="J17" s="715" t="str">
        <f t="shared" si="1"/>
        <v>----</v>
      </c>
    </row>
    <row r="18" spans="1:10">
      <c r="A18" s="88"/>
      <c r="B18" s="101"/>
      <c r="C18" s="700"/>
      <c r="D18" s="702"/>
      <c r="E18" s="708"/>
      <c r="F18" s="714" t="str">
        <f t="shared" si="2"/>
        <v>----</v>
      </c>
      <c r="G18" s="708"/>
      <c r="H18" s="714" t="str">
        <f t="shared" si="0"/>
        <v>----</v>
      </c>
      <c r="I18" s="705"/>
      <c r="J18" s="715" t="str">
        <f t="shared" si="1"/>
        <v>----</v>
      </c>
    </row>
    <row r="19" spans="1:10">
      <c r="A19" s="88"/>
      <c r="B19" s="101"/>
      <c r="C19" s="700"/>
      <c r="D19" s="702"/>
      <c r="E19" s="708"/>
      <c r="F19" s="714" t="str">
        <f t="shared" si="2"/>
        <v>----</v>
      </c>
      <c r="G19" s="708"/>
      <c r="H19" s="714" t="str">
        <f t="shared" si="0"/>
        <v>----</v>
      </c>
      <c r="I19" s="705"/>
      <c r="J19" s="715" t="str">
        <f t="shared" si="1"/>
        <v>----</v>
      </c>
    </row>
    <row r="20" spans="1:10">
      <c r="A20" s="88"/>
      <c r="B20" s="101"/>
      <c r="C20" s="700"/>
      <c r="D20" s="702"/>
      <c r="E20" s="708"/>
      <c r="F20" s="714" t="str">
        <f t="shared" si="2"/>
        <v>----</v>
      </c>
      <c r="G20" s="708"/>
      <c r="H20" s="714" t="str">
        <f t="shared" si="0"/>
        <v>----</v>
      </c>
      <c r="I20" s="705"/>
      <c r="J20" s="715" t="str">
        <f t="shared" si="1"/>
        <v>----</v>
      </c>
    </row>
    <row r="21" spans="1:10">
      <c r="A21" s="88"/>
      <c r="B21" s="101"/>
      <c r="C21" s="700"/>
      <c r="D21" s="702"/>
      <c r="E21" s="708"/>
      <c r="F21" s="714" t="str">
        <f t="shared" si="2"/>
        <v>----</v>
      </c>
      <c r="G21" s="708"/>
      <c r="H21" s="714" t="str">
        <f t="shared" si="0"/>
        <v>----</v>
      </c>
      <c r="I21" s="705"/>
      <c r="J21" s="715" t="str">
        <f t="shared" si="1"/>
        <v>----</v>
      </c>
    </row>
    <row r="22" spans="1:10">
      <c r="A22" s="88"/>
      <c r="B22" s="101"/>
      <c r="C22" s="700"/>
      <c r="D22" s="702"/>
      <c r="E22" s="708"/>
      <c r="F22" s="714" t="str">
        <f t="shared" si="2"/>
        <v>----</v>
      </c>
      <c r="G22" s="708"/>
      <c r="H22" s="714" t="str">
        <f t="shared" si="0"/>
        <v>----</v>
      </c>
      <c r="I22" s="705"/>
      <c r="J22" s="715" t="str">
        <f t="shared" si="1"/>
        <v>----</v>
      </c>
    </row>
    <row r="23" spans="1:10" ht="15.75" thickBot="1">
      <c r="A23" s="74"/>
      <c r="B23" s="75"/>
      <c r="C23" s="699"/>
      <c r="D23" s="703"/>
      <c r="E23" s="709"/>
      <c r="F23" s="710" t="str">
        <f t="shared" si="2"/>
        <v>----</v>
      </c>
      <c r="G23" s="709"/>
      <c r="H23" s="710" t="str">
        <f t="shared" si="0"/>
        <v>----</v>
      </c>
      <c r="I23" s="706"/>
      <c r="J23" s="711" t="str">
        <f t="shared" si="1"/>
        <v>----</v>
      </c>
    </row>
    <row r="24" spans="1:10" ht="15.75" thickBot="1">
      <c r="A24" s="27"/>
      <c r="B24" s="27"/>
      <c r="C24" s="28"/>
      <c r="D24" s="28"/>
      <c r="E24" s="439"/>
      <c r="F24" s="441">
        <f>SUM(F4:F23)</f>
        <v>52390.610000000015</v>
      </c>
      <c r="G24" s="439"/>
      <c r="H24" s="441">
        <f>SUM(H4:H23)</f>
        <v>9016.3200000000652</v>
      </c>
      <c r="I24" s="28"/>
      <c r="J24" s="69">
        <f>SUM(J4:J23)</f>
        <v>0</v>
      </c>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7C9C2-02D3-4659-AC9D-B531369B8D53}">
  <dimension ref="A1:K23"/>
  <sheetViews>
    <sheetView workbookViewId="0">
      <selection activeCell="M16" sqref="M16"/>
    </sheetView>
  </sheetViews>
  <sheetFormatPr defaultRowHeight="15"/>
  <cols>
    <col min="2" max="2" width="23.7109375" bestFit="1" customWidth="1"/>
    <col min="3" max="3" width="12" bestFit="1" customWidth="1"/>
    <col min="4" max="4" width="12.5703125" customWidth="1"/>
    <col min="5" max="8" width="12" style="432" customWidth="1"/>
    <col min="9" max="10" width="12" customWidth="1"/>
  </cols>
  <sheetData>
    <row r="1" spans="1:11" ht="15.75" thickBot="1">
      <c r="A1" s="952" t="s">
        <v>177</v>
      </c>
      <c r="B1" s="953"/>
      <c r="C1" s="953"/>
      <c r="D1" s="953"/>
      <c r="E1" s="953"/>
      <c r="F1" s="953"/>
      <c r="G1" s="953"/>
      <c r="H1" s="953"/>
      <c r="I1" s="953"/>
      <c r="J1" s="954"/>
    </row>
    <row r="2" spans="1:11" s="432" customFormat="1">
      <c r="A2" s="976" t="s">
        <v>110</v>
      </c>
      <c r="B2" s="978" t="s">
        <v>111</v>
      </c>
      <c r="C2" s="978" t="s">
        <v>112</v>
      </c>
      <c r="D2" s="980" t="s">
        <v>120</v>
      </c>
      <c r="E2" s="957" t="s">
        <v>701</v>
      </c>
      <c r="F2" s="958"/>
      <c r="G2" s="957" t="s">
        <v>702</v>
      </c>
      <c r="H2" s="958"/>
      <c r="I2" s="932" t="s">
        <v>796</v>
      </c>
      <c r="J2" s="933"/>
    </row>
    <row r="3" spans="1:11" ht="57.75" thickBot="1">
      <c r="A3" s="977"/>
      <c r="B3" s="979"/>
      <c r="C3" s="979"/>
      <c r="D3" s="981"/>
      <c r="E3" s="460" t="s">
        <v>121</v>
      </c>
      <c r="F3" s="468" t="s">
        <v>704</v>
      </c>
      <c r="G3" s="460" t="s">
        <v>121</v>
      </c>
      <c r="H3" s="468" t="s">
        <v>704</v>
      </c>
      <c r="I3" s="478" t="s">
        <v>121</v>
      </c>
      <c r="J3" s="25" t="s">
        <v>704</v>
      </c>
    </row>
    <row r="4" spans="1:11">
      <c r="A4" s="70">
        <v>43852</v>
      </c>
      <c r="B4" s="71" t="s">
        <v>207</v>
      </c>
      <c r="C4" s="781">
        <v>493525.27</v>
      </c>
      <c r="D4" s="787">
        <f>C4</f>
        <v>493525.27</v>
      </c>
      <c r="E4" s="794">
        <v>511491.38</v>
      </c>
      <c r="F4" s="803">
        <f>IF(ISBLANK(E4),"----",E4-$D4)</f>
        <v>17966.109999999986</v>
      </c>
      <c r="G4" s="794" t="s">
        <v>703</v>
      </c>
      <c r="H4" s="803" t="str">
        <f t="shared" ref="H4:H22" si="0">IF(OR(G4="Complete",ISBLANK(G4)),"----",G4-$D4)</f>
        <v>----</v>
      </c>
      <c r="I4" s="791" t="s">
        <v>703</v>
      </c>
      <c r="J4" s="804" t="str">
        <f t="shared" ref="J4:J22" si="1">IF(OR(I4="Complete",ISBLANK(I4)),"----",I4-$D4)</f>
        <v>----</v>
      </c>
    </row>
    <row r="5" spans="1:11">
      <c r="A5" s="88">
        <v>44580</v>
      </c>
      <c r="B5" s="101" t="s">
        <v>490</v>
      </c>
      <c r="C5" s="784">
        <v>517207.2</v>
      </c>
      <c r="D5" s="788">
        <f>C5</f>
        <v>517207.2</v>
      </c>
      <c r="E5" s="795">
        <v>499497.7</v>
      </c>
      <c r="F5" s="774">
        <f t="shared" ref="F5:F22" si="2">IF(ISBLANK(E5),"----",E5-$D5)</f>
        <v>-17709.5</v>
      </c>
      <c r="G5" s="795" t="s">
        <v>703</v>
      </c>
      <c r="H5" s="774" t="str">
        <f t="shared" si="0"/>
        <v>----</v>
      </c>
      <c r="I5" s="792" t="s">
        <v>703</v>
      </c>
      <c r="J5" s="775" t="str">
        <f t="shared" si="1"/>
        <v>----</v>
      </c>
    </row>
    <row r="6" spans="1:11">
      <c r="A6" s="102">
        <v>44944</v>
      </c>
      <c r="B6" s="103" t="s">
        <v>628</v>
      </c>
      <c r="C6" s="770">
        <v>1158234.6499999999</v>
      </c>
      <c r="D6" s="729">
        <f>C6</f>
        <v>1158234.6499999999</v>
      </c>
      <c r="E6" s="739"/>
      <c r="F6" s="774" t="str">
        <f t="shared" si="2"/>
        <v>----</v>
      </c>
      <c r="G6" s="739"/>
      <c r="H6" s="774" t="str">
        <f t="shared" si="0"/>
        <v>----</v>
      </c>
      <c r="I6" s="734">
        <v>1109893.8899999999</v>
      </c>
      <c r="J6" s="775">
        <f t="shared" si="1"/>
        <v>-48340.760000000009</v>
      </c>
      <c r="K6" t="s">
        <v>866</v>
      </c>
    </row>
    <row r="7" spans="1:11">
      <c r="A7" s="102">
        <v>45308</v>
      </c>
      <c r="B7" s="103" t="s">
        <v>720</v>
      </c>
      <c r="C7" s="770">
        <v>874128.06</v>
      </c>
      <c r="D7" s="729">
        <f>C7</f>
        <v>874128.06</v>
      </c>
      <c r="E7" s="739"/>
      <c r="F7" s="774" t="str">
        <f t="shared" si="2"/>
        <v>----</v>
      </c>
      <c r="G7" s="739"/>
      <c r="H7" s="774" t="str">
        <f t="shared" si="0"/>
        <v>----</v>
      </c>
      <c r="I7" s="734"/>
      <c r="J7" s="775" t="str">
        <f t="shared" si="1"/>
        <v>----</v>
      </c>
    </row>
    <row r="8" spans="1:11" s="839" customFormat="1">
      <c r="A8" s="840">
        <v>45706</v>
      </c>
      <c r="B8" s="841" t="s">
        <v>836</v>
      </c>
      <c r="C8" s="842">
        <v>1353872.98</v>
      </c>
      <c r="D8" s="843">
        <v>0</v>
      </c>
      <c r="E8" s="844"/>
      <c r="F8" s="845" t="str">
        <f t="shared" si="2"/>
        <v>----</v>
      </c>
      <c r="G8" s="844"/>
      <c r="H8" s="845" t="str">
        <f t="shared" si="0"/>
        <v>----</v>
      </c>
      <c r="I8" s="846"/>
      <c r="J8" s="847" t="str">
        <f t="shared" si="1"/>
        <v>----</v>
      </c>
      <c r="K8" s="839" t="s">
        <v>865</v>
      </c>
    </row>
    <row r="9" spans="1:11">
      <c r="A9" s="102"/>
      <c r="B9" s="103"/>
      <c r="C9" s="770"/>
      <c r="D9" s="729"/>
      <c r="E9" s="739"/>
      <c r="F9" s="774" t="str">
        <f t="shared" si="2"/>
        <v>----</v>
      </c>
      <c r="G9" s="739"/>
      <c r="H9" s="774" t="str">
        <f t="shared" si="0"/>
        <v>----</v>
      </c>
      <c r="I9" s="734"/>
      <c r="J9" s="775" t="str">
        <f t="shared" si="1"/>
        <v>----</v>
      </c>
    </row>
    <row r="10" spans="1:11">
      <c r="A10" s="102"/>
      <c r="B10" s="103"/>
      <c r="C10" s="770"/>
      <c r="D10" s="729"/>
      <c r="E10" s="739"/>
      <c r="F10" s="774" t="str">
        <f t="shared" si="2"/>
        <v>----</v>
      </c>
      <c r="G10" s="739"/>
      <c r="H10" s="774" t="str">
        <f t="shared" si="0"/>
        <v>----</v>
      </c>
      <c r="I10" s="734"/>
      <c r="J10" s="775" t="str">
        <f t="shared" si="1"/>
        <v>----</v>
      </c>
    </row>
    <row r="11" spans="1:11">
      <c r="A11" s="102"/>
      <c r="B11" s="103"/>
      <c r="C11" s="770"/>
      <c r="D11" s="729"/>
      <c r="E11" s="739"/>
      <c r="F11" s="774" t="str">
        <f t="shared" si="2"/>
        <v>----</v>
      </c>
      <c r="G11" s="739"/>
      <c r="H11" s="774" t="str">
        <f t="shared" si="0"/>
        <v>----</v>
      </c>
      <c r="I11" s="734"/>
      <c r="J11" s="775" t="str">
        <f t="shared" si="1"/>
        <v>----</v>
      </c>
    </row>
    <row r="12" spans="1:11">
      <c r="A12" s="102"/>
      <c r="B12" s="103"/>
      <c r="C12" s="770"/>
      <c r="D12" s="729"/>
      <c r="E12" s="739"/>
      <c r="F12" s="774" t="str">
        <f t="shared" si="2"/>
        <v>----</v>
      </c>
      <c r="G12" s="739"/>
      <c r="H12" s="774" t="str">
        <f t="shared" si="0"/>
        <v>----</v>
      </c>
      <c r="I12" s="734"/>
      <c r="J12" s="775" t="str">
        <f t="shared" si="1"/>
        <v>----</v>
      </c>
    </row>
    <row r="13" spans="1:11">
      <c r="A13" s="102"/>
      <c r="B13" s="103"/>
      <c r="C13" s="770"/>
      <c r="D13" s="729"/>
      <c r="E13" s="739"/>
      <c r="F13" s="774" t="str">
        <f t="shared" si="2"/>
        <v>----</v>
      </c>
      <c r="G13" s="739"/>
      <c r="H13" s="774" t="str">
        <f t="shared" si="0"/>
        <v>----</v>
      </c>
      <c r="I13" s="734"/>
      <c r="J13" s="775" t="str">
        <f t="shared" si="1"/>
        <v>----</v>
      </c>
    </row>
    <row r="14" spans="1:11">
      <c r="A14" s="102"/>
      <c r="B14" s="103"/>
      <c r="C14" s="770"/>
      <c r="D14" s="729"/>
      <c r="E14" s="739"/>
      <c r="F14" s="774" t="str">
        <f t="shared" si="2"/>
        <v>----</v>
      </c>
      <c r="G14" s="739"/>
      <c r="H14" s="774" t="str">
        <f t="shared" si="0"/>
        <v>----</v>
      </c>
      <c r="I14" s="734"/>
      <c r="J14" s="775" t="str">
        <f t="shared" si="1"/>
        <v>----</v>
      </c>
    </row>
    <row r="15" spans="1:11">
      <c r="A15" s="102"/>
      <c r="B15" s="103"/>
      <c r="C15" s="770"/>
      <c r="D15" s="729"/>
      <c r="E15" s="739"/>
      <c r="F15" s="774" t="str">
        <f t="shared" si="2"/>
        <v>----</v>
      </c>
      <c r="G15" s="739"/>
      <c r="H15" s="774" t="str">
        <f t="shared" si="0"/>
        <v>----</v>
      </c>
      <c r="I15" s="734"/>
      <c r="J15" s="775" t="str">
        <f t="shared" si="1"/>
        <v>----</v>
      </c>
    </row>
    <row r="16" spans="1:11">
      <c r="A16" s="102"/>
      <c r="B16" s="103"/>
      <c r="C16" s="770"/>
      <c r="D16" s="729"/>
      <c r="E16" s="739"/>
      <c r="F16" s="774" t="str">
        <f t="shared" si="2"/>
        <v>----</v>
      </c>
      <c r="G16" s="739"/>
      <c r="H16" s="774" t="str">
        <f t="shared" si="0"/>
        <v>----</v>
      </c>
      <c r="I16" s="734"/>
      <c r="J16" s="775" t="str">
        <f t="shared" si="1"/>
        <v>----</v>
      </c>
    </row>
    <row r="17" spans="1:10">
      <c r="A17" s="102"/>
      <c r="B17" s="103"/>
      <c r="C17" s="770"/>
      <c r="D17" s="729"/>
      <c r="E17" s="739"/>
      <c r="F17" s="774" t="str">
        <f t="shared" si="2"/>
        <v>----</v>
      </c>
      <c r="G17" s="739"/>
      <c r="H17" s="774" t="str">
        <f t="shared" si="0"/>
        <v>----</v>
      </c>
      <c r="I17" s="734"/>
      <c r="J17" s="775" t="str">
        <f t="shared" si="1"/>
        <v>----</v>
      </c>
    </row>
    <row r="18" spans="1:10">
      <c r="A18" s="102"/>
      <c r="B18" s="103"/>
      <c r="C18" s="770"/>
      <c r="D18" s="729"/>
      <c r="E18" s="739"/>
      <c r="F18" s="774" t="str">
        <f t="shared" si="2"/>
        <v>----</v>
      </c>
      <c r="G18" s="739"/>
      <c r="H18" s="774" t="str">
        <f t="shared" si="0"/>
        <v>----</v>
      </c>
      <c r="I18" s="734"/>
      <c r="J18" s="775" t="str">
        <f t="shared" si="1"/>
        <v>----</v>
      </c>
    </row>
    <row r="19" spans="1:10">
      <c r="A19" s="102"/>
      <c r="B19" s="103"/>
      <c r="C19" s="770"/>
      <c r="D19" s="729"/>
      <c r="E19" s="739"/>
      <c r="F19" s="774" t="str">
        <f t="shared" si="2"/>
        <v>----</v>
      </c>
      <c r="G19" s="739"/>
      <c r="H19" s="774" t="str">
        <f t="shared" si="0"/>
        <v>----</v>
      </c>
      <c r="I19" s="734"/>
      <c r="J19" s="775" t="str">
        <f t="shared" si="1"/>
        <v>----</v>
      </c>
    </row>
    <row r="20" spans="1:10">
      <c r="A20" s="102"/>
      <c r="B20" s="103"/>
      <c r="C20" s="770"/>
      <c r="D20" s="729"/>
      <c r="E20" s="739"/>
      <c r="F20" s="774" t="str">
        <f t="shared" si="2"/>
        <v>----</v>
      </c>
      <c r="G20" s="739"/>
      <c r="H20" s="774" t="str">
        <f t="shared" si="0"/>
        <v>----</v>
      </c>
      <c r="I20" s="734"/>
      <c r="J20" s="775" t="str">
        <f t="shared" si="1"/>
        <v>----</v>
      </c>
    </row>
    <row r="21" spans="1:10">
      <c r="A21" s="116"/>
      <c r="B21" s="117"/>
      <c r="C21" s="773"/>
      <c r="D21" s="789"/>
      <c r="E21" s="740"/>
      <c r="F21" s="774" t="str">
        <f t="shared" si="2"/>
        <v>----</v>
      </c>
      <c r="G21" s="740"/>
      <c r="H21" s="774" t="str">
        <f t="shared" si="0"/>
        <v>----</v>
      </c>
      <c r="I21" s="735"/>
      <c r="J21" s="775" t="str">
        <f t="shared" si="1"/>
        <v>----</v>
      </c>
    </row>
    <row r="22" spans="1:10" ht="15.75" thickBot="1">
      <c r="A22" s="74"/>
      <c r="B22" s="75"/>
      <c r="C22" s="783"/>
      <c r="D22" s="790"/>
      <c r="E22" s="796"/>
      <c r="F22" s="801" t="str">
        <f t="shared" si="2"/>
        <v>----</v>
      </c>
      <c r="G22" s="796"/>
      <c r="H22" s="801" t="str">
        <f t="shared" si="0"/>
        <v>----</v>
      </c>
      <c r="I22" s="793"/>
      <c r="J22" s="802" t="str">
        <f t="shared" si="1"/>
        <v>----</v>
      </c>
    </row>
    <row r="23" spans="1:10" ht="15.75" thickBot="1">
      <c r="A23" s="27"/>
      <c r="B23" s="27"/>
      <c r="C23" s="814"/>
      <c r="D23" s="814"/>
      <c r="E23" s="814"/>
      <c r="F23" s="815">
        <f>SUM(F4:F22)</f>
        <v>256.60999999998603</v>
      </c>
      <c r="G23" s="814"/>
      <c r="H23" s="815">
        <f>SUM(H4:H22)</f>
        <v>0</v>
      </c>
      <c r="I23" s="814"/>
      <c r="J23" s="815">
        <f>SUM(J4:J22)</f>
        <v>-48340.760000000009</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2EAE0-9BE0-4BA7-9533-9FB16F3989BC}">
  <dimension ref="A1:J22"/>
  <sheetViews>
    <sheetView workbookViewId="0">
      <selection activeCell="G2" sqref="G2:H21"/>
    </sheetView>
  </sheetViews>
  <sheetFormatPr defaultRowHeight="15"/>
  <cols>
    <col min="2" max="2" width="22.85546875" bestFit="1" customWidth="1"/>
    <col min="3" max="4" width="10.7109375" bestFit="1" customWidth="1"/>
    <col min="5" max="8" width="9.140625" style="432"/>
  </cols>
  <sheetData>
    <row r="1" spans="1:10" ht="15.75" thickBot="1">
      <c r="A1" s="952" t="s">
        <v>255</v>
      </c>
      <c r="B1" s="953"/>
      <c r="C1" s="953"/>
      <c r="D1" s="953"/>
      <c r="E1" s="953"/>
      <c r="F1" s="953"/>
      <c r="G1" s="953"/>
      <c r="H1" s="953"/>
      <c r="I1" s="953"/>
      <c r="J1" s="954"/>
    </row>
    <row r="2" spans="1:10" s="432" customFormat="1">
      <c r="A2" s="959" t="s">
        <v>110</v>
      </c>
      <c r="B2" s="961" t="s">
        <v>111</v>
      </c>
      <c r="C2" s="961" t="s">
        <v>112</v>
      </c>
      <c r="D2" s="963" t="s">
        <v>120</v>
      </c>
      <c r="E2" s="957" t="s">
        <v>701</v>
      </c>
      <c r="F2" s="958"/>
      <c r="G2" s="957" t="s">
        <v>702</v>
      </c>
      <c r="H2" s="958"/>
      <c r="I2" s="932" t="s">
        <v>796</v>
      </c>
      <c r="J2" s="933"/>
    </row>
    <row r="3" spans="1:10" ht="69" thickBot="1">
      <c r="A3" s="960"/>
      <c r="B3" s="962"/>
      <c r="C3" s="962"/>
      <c r="D3" s="964"/>
      <c r="E3" s="460" t="s">
        <v>121</v>
      </c>
      <c r="F3" s="468" t="s">
        <v>704</v>
      </c>
      <c r="G3" s="460" t="s">
        <v>121</v>
      </c>
      <c r="H3" s="468" t="s">
        <v>704</v>
      </c>
      <c r="I3" s="478" t="s">
        <v>121</v>
      </c>
      <c r="J3" s="25" t="s">
        <v>704</v>
      </c>
    </row>
    <row r="4" spans="1:10">
      <c r="A4" s="70">
        <v>44460</v>
      </c>
      <c r="B4" s="71" t="s">
        <v>452</v>
      </c>
      <c r="C4" s="72">
        <v>649012.47999999998</v>
      </c>
      <c r="D4" s="429">
        <v>403222.48</v>
      </c>
      <c r="E4" s="469"/>
      <c r="F4" s="470" t="str">
        <f>IF(ISBLANK(E4),"----",E4-$D4)</f>
        <v>----</v>
      </c>
      <c r="G4" s="469"/>
      <c r="H4" s="470" t="str">
        <f t="shared" ref="H4:H21" si="0">IF(OR(G4="Complete",ISBLANK(G4)),"----",G4-$D4)</f>
        <v>----</v>
      </c>
      <c r="I4" s="479"/>
      <c r="J4" s="73" t="str">
        <f t="shared" ref="J4:J21" si="1">IF(OR(I4="Complete",ISBLANK(I4)),"----",I4-$D4)</f>
        <v>----</v>
      </c>
    </row>
    <row r="5" spans="1:10">
      <c r="A5" s="88">
        <v>44607</v>
      </c>
      <c r="B5" s="101" t="s">
        <v>506</v>
      </c>
      <c r="C5" s="82">
        <v>544017.65</v>
      </c>
      <c r="D5" s="431">
        <v>435214.12</v>
      </c>
      <c r="E5" s="471"/>
      <c r="F5" s="472" t="str">
        <f t="shared" ref="F5:F21" si="2">IF(ISBLANK(E5),"----",E5-$D5)</f>
        <v>----</v>
      </c>
      <c r="G5" s="471"/>
      <c r="H5" s="472" t="str">
        <f t="shared" si="0"/>
        <v>----</v>
      </c>
      <c r="I5" s="484"/>
      <c r="J5" s="83" t="str">
        <f t="shared" si="1"/>
        <v>----</v>
      </c>
    </row>
    <row r="6" spans="1:10">
      <c r="A6" s="88">
        <v>44670</v>
      </c>
      <c r="B6" s="101" t="s">
        <v>514</v>
      </c>
      <c r="C6" s="82">
        <v>687220.2</v>
      </c>
      <c r="D6" s="431">
        <f>C6</f>
        <v>687220.2</v>
      </c>
      <c r="E6" s="471"/>
      <c r="F6" s="472" t="str">
        <f t="shared" si="2"/>
        <v>----</v>
      </c>
      <c r="G6" s="471"/>
      <c r="H6" s="472" t="str">
        <f t="shared" si="0"/>
        <v>----</v>
      </c>
      <c r="I6" s="484"/>
      <c r="J6" s="83" t="str">
        <f t="shared" si="1"/>
        <v>----</v>
      </c>
    </row>
    <row r="7" spans="1:10">
      <c r="A7" s="88"/>
      <c r="B7" s="101"/>
      <c r="C7" s="82"/>
      <c r="D7" s="431"/>
      <c r="E7" s="471"/>
      <c r="F7" s="472" t="str">
        <f t="shared" si="2"/>
        <v>----</v>
      </c>
      <c r="G7" s="471"/>
      <c r="H7" s="472" t="str">
        <f t="shared" si="0"/>
        <v>----</v>
      </c>
      <c r="I7" s="484"/>
      <c r="J7" s="83" t="str">
        <f t="shared" si="1"/>
        <v>----</v>
      </c>
    </row>
    <row r="8" spans="1:10">
      <c r="A8" s="88"/>
      <c r="B8" s="101"/>
      <c r="C8" s="82"/>
      <c r="D8" s="431"/>
      <c r="E8" s="471"/>
      <c r="F8" s="472" t="str">
        <f t="shared" si="2"/>
        <v>----</v>
      </c>
      <c r="G8" s="471"/>
      <c r="H8" s="472" t="str">
        <f t="shared" si="0"/>
        <v>----</v>
      </c>
      <c r="I8" s="484"/>
      <c r="J8" s="83" t="str">
        <f t="shared" si="1"/>
        <v>----</v>
      </c>
    </row>
    <row r="9" spans="1:10">
      <c r="A9" s="88"/>
      <c r="B9" s="101"/>
      <c r="C9" s="82"/>
      <c r="D9" s="431"/>
      <c r="E9" s="471"/>
      <c r="F9" s="472" t="str">
        <f t="shared" si="2"/>
        <v>----</v>
      </c>
      <c r="G9" s="471"/>
      <c r="H9" s="472" t="str">
        <f t="shared" si="0"/>
        <v>----</v>
      </c>
      <c r="I9" s="484"/>
      <c r="J9" s="83" t="str">
        <f t="shared" si="1"/>
        <v>----</v>
      </c>
    </row>
    <row r="10" spans="1:10">
      <c r="A10" s="88"/>
      <c r="B10" s="101"/>
      <c r="C10" s="82"/>
      <c r="D10" s="431"/>
      <c r="E10" s="471"/>
      <c r="F10" s="472" t="str">
        <f t="shared" si="2"/>
        <v>----</v>
      </c>
      <c r="G10" s="471"/>
      <c r="H10" s="472" t="str">
        <f t="shared" si="0"/>
        <v>----</v>
      </c>
      <c r="I10" s="484"/>
      <c r="J10" s="83" t="str">
        <f t="shared" si="1"/>
        <v>----</v>
      </c>
    </row>
    <row r="11" spans="1:10">
      <c r="A11" s="88"/>
      <c r="B11" s="101"/>
      <c r="C11" s="82"/>
      <c r="D11" s="431"/>
      <c r="E11" s="471"/>
      <c r="F11" s="472" t="str">
        <f t="shared" si="2"/>
        <v>----</v>
      </c>
      <c r="G11" s="471"/>
      <c r="H11" s="472" t="str">
        <f t="shared" si="0"/>
        <v>----</v>
      </c>
      <c r="I11" s="484"/>
      <c r="J11" s="83" t="str">
        <f t="shared" si="1"/>
        <v>----</v>
      </c>
    </row>
    <row r="12" spans="1:10">
      <c r="A12" s="88"/>
      <c r="B12" s="101"/>
      <c r="C12" s="82"/>
      <c r="D12" s="431"/>
      <c r="E12" s="471"/>
      <c r="F12" s="472" t="str">
        <f t="shared" si="2"/>
        <v>----</v>
      </c>
      <c r="G12" s="471"/>
      <c r="H12" s="472" t="str">
        <f t="shared" si="0"/>
        <v>----</v>
      </c>
      <c r="I12" s="484"/>
      <c r="J12" s="83" t="str">
        <f t="shared" si="1"/>
        <v>----</v>
      </c>
    </row>
    <row r="13" spans="1:10">
      <c r="A13" s="88"/>
      <c r="B13" s="101"/>
      <c r="C13" s="82"/>
      <c r="D13" s="431"/>
      <c r="E13" s="471"/>
      <c r="F13" s="472" t="str">
        <f t="shared" si="2"/>
        <v>----</v>
      </c>
      <c r="G13" s="471"/>
      <c r="H13" s="472" t="str">
        <f t="shared" si="0"/>
        <v>----</v>
      </c>
      <c r="I13" s="484"/>
      <c r="J13" s="83" t="str">
        <f t="shared" si="1"/>
        <v>----</v>
      </c>
    </row>
    <row r="14" spans="1:10">
      <c r="A14" s="88"/>
      <c r="B14" s="101"/>
      <c r="C14" s="82"/>
      <c r="D14" s="431"/>
      <c r="E14" s="471"/>
      <c r="F14" s="472" t="str">
        <f t="shared" si="2"/>
        <v>----</v>
      </c>
      <c r="G14" s="471"/>
      <c r="H14" s="472" t="str">
        <f t="shared" si="0"/>
        <v>----</v>
      </c>
      <c r="I14" s="484"/>
      <c r="J14" s="83" t="str">
        <f t="shared" si="1"/>
        <v>----</v>
      </c>
    </row>
    <row r="15" spans="1:10">
      <c r="A15" s="88"/>
      <c r="B15" s="101"/>
      <c r="C15" s="82"/>
      <c r="D15" s="431"/>
      <c r="E15" s="471"/>
      <c r="F15" s="472" t="str">
        <f t="shared" si="2"/>
        <v>----</v>
      </c>
      <c r="G15" s="471"/>
      <c r="H15" s="472" t="str">
        <f t="shared" si="0"/>
        <v>----</v>
      </c>
      <c r="I15" s="484"/>
      <c r="J15" s="83" t="str">
        <f t="shared" si="1"/>
        <v>----</v>
      </c>
    </row>
    <row r="16" spans="1:10">
      <c r="A16" s="88"/>
      <c r="B16" s="101"/>
      <c r="C16" s="82"/>
      <c r="D16" s="431"/>
      <c r="E16" s="471"/>
      <c r="F16" s="472" t="str">
        <f t="shared" si="2"/>
        <v>----</v>
      </c>
      <c r="G16" s="471"/>
      <c r="H16" s="472" t="str">
        <f t="shared" si="0"/>
        <v>----</v>
      </c>
      <c r="I16" s="484"/>
      <c r="J16" s="83" t="str">
        <f t="shared" si="1"/>
        <v>----</v>
      </c>
    </row>
    <row r="17" spans="1:10">
      <c r="A17" s="88"/>
      <c r="B17" s="101"/>
      <c r="C17" s="82"/>
      <c r="D17" s="431"/>
      <c r="E17" s="471"/>
      <c r="F17" s="472" t="str">
        <f t="shared" si="2"/>
        <v>----</v>
      </c>
      <c r="G17" s="471"/>
      <c r="H17" s="472" t="str">
        <f t="shared" si="0"/>
        <v>----</v>
      </c>
      <c r="I17" s="484"/>
      <c r="J17" s="83" t="str">
        <f t="shared" si="1"/>
        <v>----</v>
      </c>
    </row>
    <row r="18" spans="1:10">
      <c r="A18" s="88"/>
      <c r="B18" s="101"/>
      <c r="C18" s="82"/>
      <c r="D18" s="431"/>
      <c r="E18" s="471"/>
      <c r="F18" s="472" t="str">
        <f t="shared" si="2"/>
        <v>----</v>
      </c>
      <c r="G18" s="471"/>
      <c r="H18" s="472" t="str">
        <f t="shared" si="0"/>
        <v>----</v>
      </c>
      <c r="I18" s="484"/>
      <c r="J18" s="83" t="str">
        <f t="shared" si="1"/>
        <v>----</v>
      </c>
    </row>
    <row r="19" spans="1:10">
      <c r="A19" s="88"/>
      <c r="B19" s="101"/>
      <c r="C19" s="82"/>
      <c r="D19" s="431"/>
      <c r="E19" s="471"/>
      <c r="F19" s="472" t="str">
        <f t="shared" si="2"/>
        <v>----</v>
      </c>
      <c r="G19" s="471"/>
      <c r="H19" s="472" t="str">
        <f t="shared" si="0"/>
        <v>----</v>
      </c>
      <c r="I19" s="484"/>
      <c r="J19" s="83" t="str">
        <f t="shared" si="1"/>
        <v>----</v>
      </c>
    </row>
    <row r="20" spans="1:10">
      <c r="A20" s="91"/>
      <c r="B20" s="92"/>
      <c r="C20" s="84"/>
      <c r="D20" s="477"/>
      <c r="E20" s="482"/>
      <c r="F20" s="483" t="str">
        <f t="shared" si="2"/>
        <v>----</v>
      </c>
      <c r="G20" s="482"/>
      <c r="H20" s="483" t="str">
        <f t="shared" si="0"/>
        <v>----</v>
      </c>
      <c r="I20" s="480"/>
      <c r="J20" s="85" t="str">
        <f t="shared" si="1"/>
        <v>----</v>
      </c>
    </row>
    <row r="21" spans="1:10" ht="15.75" thickBot="1">
      <c r="A21" s="74"/>
      <c r="B21" s="75"/>
      <c r="C21" s="76"/>
      <c r="D21" s="430"/>
      <c r="E21" s="475"/>
      <c r="F21" s="476" t="str">
        <f t="shared" si="2"/>
        <v>----</v>
      </c>
      <c r="G21" s="475"/>
      <c r="H21" s="476" t="str">
        <f t="shared" si="0"/>
        <v>----</v>
      </c>
      <c r="I21" s="481"/>
      <c r="J21" s="77" t="str">
        <f t="shared" si="1"/>
        <v>----</v>
      </c>
    </row>
    <row r="22" spans="1:10" ht="15.75" thickBot="1">
      <c r="A22" s="27"/>
      <c r="B22" s="27"/>
      <c r="C22" s="28"/>
      <c r="D22" s="28"/>
      <c r="E22" s="439"/>
      <c r="F22" s="441">
        <f>SUM(F4:F21)</f>
        <v>0</v>
      </c>
      <c r="G22" s="439"/>
      <c r="H22" s="441">
        <f>SUM(H4:H21)</f>
        <v>0</v>
      </c>
      <c r="I22" s="28"/>
      <c r="J22" s="69">
        <f>SUM(J4:J21)</f>
        <v>0</v>
      </c>
    </row>
  </sheetData>
  <mergeCells count="8">
    <mergeCell ref="A1:J1"/>
    <mergeCell ref="A2:A3"/>
    <mergeCell ref="B2:B3"/>
    <mergeCell ref="C2:C3"/>
    <mergeCell ref="D2:D3"/>
    <mergeCell ref="E2:F2"/>
    <mergeCell ref="I2:J2"/>
    <mergeCell ref="G2:H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F9E3-08CE-4F2F-8BB4-25A396949B2C}">
  <dimension ref="A1:K22"/>
  <sheetViews>
    <sheetView workbookViewId="0">
      <selection activeCell="G2" sqref="G2:H21"/>
    </sheetView>
  </sheetViews>
  <sheetFormatPr defaultRowHeight="15"/>
  <cols>
    <col min="2" max="2" width="23.7109375" bestFit="1" customWidth="1"/>
    <col min="3" max="3" width="12.5703125" bestFit="1" customWidth="1"/>
    <col min="4" max="4" width="12" customWidth="1"/>
    <col min="5" max="5" width="11" style="432" customWidth="1"/>
    <col min="6" max="6" width="12" style="432" customWidth="1"/>
    <col min="7" max="7" width="11" style="432" customWidth="1"/>
    <col min="8" max="8" width="12" style="432" customWidth="1"/>
    <col min="9" max="9" width="11" customWidth="1"/>
    <col min="10" max="10" width="12" customWidth="1"/>
  </cols>
  <sheetData>
    <row r="1" spans="1:11" ht="15.75" thickBot="1">
      <c r="A1" s="952" t="s">
        <v>178</v>
      </c>
      <c r="B1" s="953"/>
      <c r="C1" s="953"/>
      <c r="D1" s="953"/>
      <c r="E1" s="953"/>
      <c r="F1" s="953"/>
      <c r="G1" s="953"/>
      <c r="H1" s="953"/>
      <c r="I1" s="953"/>
      <c r="J1" s="954"/>
    </row>
    <row r="2" spans="1:11" s="432" customFormat="1">
      <c r="A2" s="959" t="s">
        <v>110</v>
      </c>
      <c r="B2" s="961" t="s">
        <v>111</v>
      </c>
      <c r="C2" s="961" t="s">
        <v>112</v>
      </c>
      <c r="D2" s="963" t="s">
        <v>120</v>
      </c>
      <c r="E2" s="957" t="s">
        <v>701</v>
      </c>
      <c r="F2" s="958"/>
      <c r="G2" s="957" t="s">
        <v>702</v>
      </c>
      <c r="H2" s="958"/>
      <c r="I2" s="932" t="s">
        <v>796</v>
      </c>
      <c r="J2" s="933"/>
    </row>
    <row r="3" spans="1:11" ht="57.75" thickBot="1">
      <c r="A3" s="960"/>
      <c r="B3" s="962"/>
      <c r="C3" s="962"/>
      <c r="D3" s="964"/>
      <c r="E3" s="460" t="s">
        <v>121</v>
      </c>
      <c r="F3" s="468" t="s">
        <v>704</v>
      </c>
      <c r="G3" s="460" t="s">
        <v>121</v>
      </c>
      <c r="H3" s="468" t="s">
        <v>704</v>
      </c>
      <c r="I3" s="478" t="s">
        <v>121</v>
      </c>
      <c r="J3" s="25" t="s">
        <v>704</v>
      </c>
    </row>
    <row r="4" spans="1:11">
      <c r="A4" s="70">
        <v>43852</v>
      </c>
      <c r="B4" s="71" t="s">
        <v>205</v>
      </c>
      <c r="C4" s="72">
        <v>687124.43</v>
      </c>
      <c r="D4" s="429">
        <f>C4</f>
        <v>687124.43</v>
      </c>
      <c r="E4" s="469">
        <v>682969.58</v>
      </c>
      <c r="F4" s="470">
        <f>IF(ISBLANK(E4),"----",E4-$D4)</f>
        <v>-4154.8500000000931</v>
      </c>
      <c r="G4" s="469" t="s">
        <v>703</v>
      </c>
      <c r="H4" s="470" t="str">
        <f t="shared" ref="H4:H21" si="0">IF(OR(G4="Complete",ISBLANK(G4)),"----",G4-$D4)</f>
        <v>----</v>
      </c>
      <c r="I4" s="479" t="s">
        <v>703</v>
      </c>
      <c r="J4" s="73" t="str">
        <f t="shared" ref="J4:J21" si="1">IF(OR(I4="Complete",ISBLANK(I4)),"----",I4-$D4)</f>
        <v>----</v>
      </c>
    </row>
    <row r="5" spans="1:11">
      <c r="A5" s="91">
        <v>43852</v>
      </c>
      <c r="B5" s="92" t="s">
        <v>206</v>
      </c>
      <c r="C5" s="84">
        <v>229395.45</v>
      </c>
      <c r="D5" s="477">
        <f>C5</f>
        <v>229395.45</v>
      </c>
      <c r="E5" s="482">
        <v>228968.7</v>
      </c>
      <c r="F5" s="472">
        <f t="shared" ref="F5:F21" si="2">IF(ISBLANK(E5),"----",E5-$D5)</f>
        <v>-426.75</v>
      </c>
      <c r="G5" s="482" t="s">
        <v>703</v>
      </c>
      <c r="H5" s="472" t="str">
        <f t="shared" si="0"/>
        <v>----</v>
      </c>
      <c r="I5" s="480" t="s">
        <v>703</v>
      </c>
      <c r="J5" s="83" t="str">
        <f t="shared" si="1"/>
        <v>----</v>
      </c>
    </row>
    <row r="6" spans="1:11">
      <c r="A6" s="102">
        <v>44089</v>
      </c>
      <c r="B6" s="103" t="s">
        <v>606</v>
      </c>
      <c r="C6" s="87">
        <v>544621.5</v>
      </c>
      <c r="D6" s="466">
        <f>C6</f>
        <v>544621.5</v>
      </c>
      <c r="E6" s="473">
        <v>537900.15</v>
      </c>
      <c r="F6" s="472">
        <f t="shared" si="2"/>
        <v>-6721.3499999999767</v>
      </c>
      <c r="G6" s="473" t="s">
        <v>703</v>
      </c>
      <c r="H6" s="472" t="str">
        <f t="shared" si="0"/>
        <v>----</v>
      </c>
      <c r="I6" s="486" t="s">
        <v>703</v>
      </c>
      <c r="J6" s="83" t="str">
        <f t="shared" si="1"/>
        <v>----</v>
      </c>
    </row>
    <row r="7" spans="1:11">
      <c r="A7" s="320">
        <v>44915</v>
      </c>
      <c r="B7" s="321" t="s">
        <v>605</v>
      </c>
      <c r="C7" s="322">
        <v>998456.75</v>
      </c>
      <c r="D7" s="522">
        <f>C7</f>
        <v>998456.75</v>
      </c>
      <c r="E7" s="524"/>
      <c r="F7" s="525" t="str">
        <f t="shared" si="2"/>
        <v>----</v>
      </c>
      <c r="G7" s="524"/>
      <c r="H7" s="525" t="str">
        <f t="shared" si="0"/>
        <v>----</v>
      </c>
      <c r="I7" s="523"/>
      <c r="J7" s="323" t="str">
        <f t="shared" si="1"/>
        <v>----</v>
      </c>
      <c r="K7" s="324" t="s">
        <v>148</v>
      </c>
    </row>
    <row r="8" spans="1:11">
      <c r="A8" s="102">
        <v>45308</v>
      </c>
      <c r="B8" s="103" t="s">
        <v>714</v>
      </c>
      <c r="C8" s="87">
        <v>1240402.1100000001</v>
      </c>
      <c r="D8" s="466">
        <f>C8</f>
        <v>1240402.1100000001</v>
      </c>
      <c r="E8" s="473"/>
      <c r="F8" s="472" t="str">
        <f t="shared" si="2"/>
        <v>----</v>
      </c>
      <c r="G8" s="473"/>
      <c r="H8" s="472" t="str">
        <f t="shared" si="0"/>
        <v>----</v>
      </c>
      <c r="I8" s="486"/>
      <c r="J8" s="83" t="str">
        <f t="shared" si="1"/>
        <v>----</v>
      </c>
    </row>
    <row r="9" spans="1:11">
      <c r="A9" s="102"/>
      <c r="B9" s="103"/>
      <c r="C9" s="87"/>
      <c r="D9" s="466"/>
      <c r="E9" s="473"/>
      <c r="F9" s="472" t="str">
        <f t="shared" si="2"/>
        <v>----</v>
      </c>
      <c r="G9" s="473"/>
      <c r="H9" s="472" t="str">
        <f t="shared" si="0"/>
        <v>----</v>
      </c>
      <c r="I9" s="486"/>
      <c r="J9" s="83" t="str">
        <f t="shared" si="1"/>
        <v>----</v>
      </c>
    </row>
    <row r="10" spans="1:11">
      <c r="A10" s="102"/>
      <c r="B10" s="103"/>
      <c r="C10" s="87"/>
      <c r="D10" s="466"/>
      <c r="E10" s="473"/>
      <c r="F10" s="472" t="str">
        <f t="shared" si="2"/>
        <v>----</v>
      </c>
      <c r="G10" s="473"/>
      <c r="H10" s="472" t="str">
        <f t="shared" si="0"/>
        <v>----</v>
      </c>
      <c r="I10" s="486"/>
      <c r="J10" s="83" t="str">
        <f t="shared" si="1"/>
        <v>----</v>
      </c>
    </row>
    <row r="11" spans="1:11">
      <c r="A11" s="102"/>
      <c r="B11" s="103"/>
      <c r="C11" s="87"/>
      <c r="D11" s="466"/>
      <c r="E11" s="473"/>
      <c r="F11" s="472" t="str">
        <f t="shared" si="2"/>
        <v>----</v>
      </c>
      <c r="G11" s="473"/>
      <c r="H11" s="472" t="str">
        <f t="shared" si="0"/>
        <v>----</v>
      </c>
      <c r="I11" s="486"/>
      <c r="J11" s="83" t="str">
        <f t="shared" si="1"/>
        <v>----</v>
      </c>
    </row>
    <row r="12" spans="1:11">
      <c r="A12" s="102"/>
      <c r="B12" s="103"/>
      <c r="C12" s="87"/>
      <c r="D12" s="466"/>
      <c r="E12" s="473"/>
      <c r="F12" s="472" t="str">
        <f t="shared" si="2"/>
        <v>----</v>
      </c>
      <c r="G12" s="473"/>
      <c r="H12" s="472" t="str">
        <f t="shared" si="0"/>
        <v>----</v>
      </c>
      <c r="I12" s="486"/>
      <c r="J12" s="83" t="str">
        <f t="shared" si="1"/>
        <v>----</v>
      </c>
    </row>
    <row r="13" spans="1:11">
      <c r="A13" s="102"/>
      <c r="B13" s="103"/>
      <c r="C13" s="87"/>
      <c r="D13" s="466"/>
      <c r="E13" s="473"/>
      <c r="F13" s="472" t="str">
        <f t="shared" si="2"/>
        <v>----</v>
      </c>
      <c r="G13" s="473"/>
      <c r="H13" s="472" t="str">
        <f t="shared" si="0"/>
        <v>----</v>
      </c>
      <c r="I13" s="486"/>
      <c r="J13" s="83" t="str">
        <f t="shared" si="1"/>
        <v>----</v>
      </c>
    </row>
    <row r="14" spans="1:11">
      <c r="A14" s="102"/>
      <c r="B14" s="103"/>
      <c r="C14" s="87"/>
      <c r="D14" s="466"/>
      <c r="E14" s="473"/>
      <c r="F14" s="472" t="str">
        <f t="shared" si="2"/>
        <v>----</v>
      </c>
      <c r="G14" s="473"/>
      <c r="H14" s="472" t="str">
        <f t="shared" si="0"/>
        <v>----</v>
      </c>
      <c r="I14" s="486"/>
      <c r="J14" s="83" t="str">
        <f t="shared" si="1"/>
        <v>----</v>
      </c>
    </row>
    <row r="15" spans="1:11">
      <c r="A15" s="102"/>
      <c r="B15" s="103"/>
      <c r="C15" s="87"/>
      <c r="D15" s="466"/>
      <c r="E15" s="473"/>
      <c r="F15" s="472" t="str">
        <f t="shared" si="2"/>
        <v>----</v>
      </c>
      <c r="G15" s="473"/>
      <c r="H15" s="472" t="str">
        <f t="shared" si="0"/>
        <v>----</v>
      </c>
      <c r="I15" s="486"/>
      <c r="J15" s="83" t="str">
        <f t="shared" si="1"/>
        <v>----</v>
      </c>
    </row>
    <row r="16" spans="1:11">
      <c r="A16" s="102"/>
      <c r="B16" s="103"/>
      <c r="C16" s="87"/>
      <c r="D16" s="466"/>
      <c r="E16" s="473"/>
      <c r="F16" s="472" t="str">
        <f t="shared" si="2"/>
        <v>----</v>
      </c>
      <c r="G16" s="473"/>
      <c r="H16" s="472" t="str">
        <f t="shared" si="0"/>
        <v>----</v>
      </c>
      <c r="I16" s="486"/>
      <c r="J16" s="83" t="str">
        <f t="shared" si="1"/>
        <v>----</v>
      </c>
    </row>
    <row r="17" spans="1:10">
      <c r="A17" s="102"/>
      <c r="B17" s="103"/>
      <c r="C17" s="87"/>
      <c r="D17" s="466"/>
      <c r="E17" s="473"/>
      <c r="F17" s="472" t="str">
        <f t="shared" si="2"/>
        <v>----</v>
      </c>
      <c r="G17" s="473"/>
      <c r="H17" s="472" t="str">
        <f t="shared" si="0"/>
        <v>----</v>
      </c>
      <c r="I17" s="486"/>
      <c r="J17" s="83" t="str">
        <f t="shared" si="1"/>
        <v>----</v>
      </c>
    </row>
    <row r="18" spans="1:10">
      <c r="A18" s="102"/>
      <c r="B18" s="103"/>
      <c r="C18" s="87"/>
      <c r="D18" s="466"/>
      <c r="E18" s="473"/>
      <c r="F18" s="472" t="str">
        <f t="shared" si="2"/>
        <v>----</v>
      </c>
      <c r="G18" s="473"/>
      <c r="H18" s="472" t="str">
        <f t="shared" si="0"/>
        <v>----</v>
      </c>
      <c r="I18" s="486"/>
      <c r="J18" s="83" t="str">
        <f t="shared" si="1"/>
        <v>----</v>
      </c>
    </row>
    <row r="19" spans="1:10">
      <c r="A19" s="102"/>
      <c r="B19" s="103"/>
      <c r="C19" s="87"/>
      <c r="D19" s="466"/>
      <c r="E19" s="473"/>
      <c r="F19" s="472" t="str">
        <f t="shared" si="2"/>
        <v>----</v>
      </c>
      <c r="G19" s="473"/>
      <c r="H19" s="472" t="str">
        <f t="shared" si="0"/>
        <v>----</v>
      </c>
      <c r="I19" s="486"/>
      <c r="J19" s="83" t="str">
        <f t="shared" si="1"/>
        <v>----</v>
      </c>
    </row>
    <row r="20" spans="1:10">
      <c r="A20" s="102"/>
      <c r="B20" s="103"/>
      <c r="C20" s="87"/>
      <c r="D20" s="466"/>
      <c r="E20" s="473"/>
      <c r="F20" s="472" t="str">
        <f t="shared" si="2"/>
        <v>----</v>
      </c>
      <c r="G20" s="473"/>
      <c r="H20" s="472" t="str">
        <f t="shared" si="0"/>
        <v>----</v>
      </c>
      <c r="I20" s="486"/>
      <c r="J20" s="83" t="str">
        <f t="shared" si="1"/>
        <v>----</v>
      </c>
    </row>
    <row r="21" spans="1:10" ht="15.75" thickBot="1">
      <c r="A21" s="74"/>
      <c r="B21" s="75"/>
      <c r="C21" s="76"/>
      <c r="D21" s="430"/>
      <c r="E21" s="475"/>
      <c r="F21" s="476" t="str">
        <f t="shared" si="2"/>
        <v>----</v>
      </c>
      <c r="G21" s="475"/>
      <c r="H21" s="476" t="str">
        <f t="shared" si="0"/>
        <v>----</v>
      </c>
      <c r="I21" s="481"/>
      <c r="J21" s="77" t="str">
        <f t="shared" si="1"/>
        <v>----</v>
      </c>
    </row>
    <row r="22" spans="1:10" ht="15.75" thickBot="1">
      <c r="A22" s="27"/>
      <c r="B22" s="27"/>
      <c r="C22" s="28"/>
      <c r="D22" s="28"/>
      <c r="E22" s="439"/>
      <c r="F22" s="441">
        <f>SUM(F4:F21)</f>
        <v>-11302.95000000007</v>
      </c>
      <c r="G22" s="439"/>
      <c r="H22" s="441">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EC28-EA0D-4BE4-A44A-0F9363E8D19F}">
  <dimension ref="A1:D103"/>
  <sheetViews>
    <sheetView topLeftCell="A16" workbookViewId="0">
      <selection activeCell="C5" sqref="C5"/>
    </sheetView>
  </sheetViews>
  <sheetFormatPr defaultRowHeight="15"/>
  <cols>
    <col min="1" max="1" width="11.42578125" customWidth="1"/>
    <col min="3" max="3" width="12.85546875" style="24" customWidth="1"/>
  </cols>
  <sheetData>
    <row r="1" spans="1:4" ht="14.65" customHeight="1">
      <c r="A1" s="948" t="s">
        <v>0</v>
      </c>
      <c r="B1" s="950" t="s">
        <v>1</v>
      </c>
      <c r="C1" s="945" t="s">
        <v>114</v>
      </c>
      <c r="D1" s="17"/>
    </row>
    <row r="2" spans="1:4">
      <c r="A2" s="948"/>
      <c r="B2" s="950"/>
      <c r="C2" s="946"/>
      <c r="D2" s="17"/>
    </row>
    <row r="3" spans="1:4" ht="18.600000000000001" customHeight="1">
      <c r="A3" s="949"/>
      <c r="B3" s="951"/>
      <c r="C3" s="947"/>
      <c r="D3" s="17"/>
    </row>
    <row r="4" spans="1:4" s="15" customFormat="1">
      <c r="A4" s="13" t="s">
        <v>2</v>
      </c>
      <c r="B4" s="14">
        <v>1</v>
      </c>
      <c r="C4" s="23">
        <f>Adair!J23</f>
        <v>0</v>
      </c>
    </row>
    <row r="5" spans="1:4">
      <c r="A5" s="5" t="s">
        <v>3</v>
      </c>
      <c r="B5" s="6">
        <v>2</v>
      </c>
      <c r="C5" s="23">
        <f>Adams!J20</f>
        <v>0</v>
      </c>
    </row>
    <row r="6" spans="1:4">
      <c r="A6" s="5" t="s">
        <v>4</v>
      </c>
      <c r="B6" s="6">
        <v>3</v>
      </c>
      <c r="C6" s="23">
        <f>Allamakee!J18</f>
        <v>0</v>
      </c>
    </row>
    <row r="7" spans="1:4">
      <c r="A7" s="5" t="s">
        <v>5</v>
      </c>
      <c r="B7" s="6">
        <v>4</v>
      </c>
      <c r="C7" s="23">
        <f>Appanoose!J20</f>
        <v>-13543.189999999944</v>
      </c>
    </row>
    <row r="8" spans="1:4">
      <c r="A8" s="7" t="s">
        <v>6</v>
      </c>
      <c r="B8" s="6">
        <v>5</v>
      </c>
      <c r="C8" s="23">
        <f>Audubon!J23</f>
        <v>0</v>
      </c>
    </row>
    <row r="9" spans="1:4" s="15" customFormat="1">
      <c r="A9" s="13" t="s">
        <v>7</v>
      </c>
      <c r="B9" s="14">
        <v>6</v>
      </c>
      <c r="C9" s="23">
        <f>Benton!J30</f>
        <v>0</v>
      </c>
    </row>
    <row r="10" spans="1:4">
      <c r="A10" s="7" t="s">
        <v>8</v>
      </c>
      <c r="B10" s="6">
        <v>7</v>
      </c>
      <c r="C10" s="23">
        <f>'Black Hawk'!J21</f>
        <v>0</v>
      </c>
    </row>
    <row r="11" spans="1:4">
      <c r="A11" s="7" t="s">
        <v>9</v>
      </c>
      <c r="B11" s="6">
        <v>8</v>
      </c>
      <c r="C11" s="23">
        <f>Boone!J24</f>
        <v>0</v>
      </c>
    </row>
    <row r="12" spans="1:4">
      <c r="A12" s="7" t="s">
        <v>10</v>
      </c>
      <c r="B12" s="6">
        <v>9</v>
      </c>
      <c r="C12" s="23">
        <f>Bremer!J23</f>
        <v>0</v>
      </c>
    </row>
    <row r="13" spans="1:4">
      <c r="A13" s="7" t="s">
        <v>11</v>
      </c>
      <c r="B13" s="6">
        <v>10</v>
      </c>
      <c r="C13" s="23">
        <f>Buchanan!J18</f>
        <v>0</v>
      </c>
    </row>
    <row r="14" spans="1:4" s="15" customFormat="1">
      <c r="A14" s="13" t="s">
        <v>12</v>
      </c>
      <c r="B14" s="14">
        <v>11</v>
      </c>
      <c r="C14" s="23">
        <f>'Buena Vista'!J20</f>
        <v>0</v>
      </c>
    </row>
    <row r="15" spans="1:4">
      <c r="A15" s="7" t="s">
        <v>13</v>
      </c>
      <c r="B15" s="6">
        <v>12</v>
      </c>
      <c r="C15" s="23">
        <f>Butler!J18</f>
        <v>3234.460000000021</v>
      </c>
    </row>
    <row r="16" spans="1:4">
      <c r="A16" s="7" t="s">
        <v>14</v>
      </c>
      <c r="B16" s="6">
        <v>13</v>
      </c>
      <c r="C16" s="23">
        <f>Calhoun!J18</f>
        <v>-48968.139999999898</v>
      </c>
    </row>
    <row r="17" spans="1:3">
      <c r="A17" s="7" t="s">
        <v>15</v>
      </c>
      <c r="B17" s="6">
        <v>14</v>
      </c>
      <c r="C17" s="23">
        <f>Carroll!J23</f>
        <v>0</v>
      </c>
    </row>
    <row r="18" spans="1:3">
      <c r="A18" s="7" t="s">
        <v>16</v>
      </c>
      <c r="B18" s="6">
        <v>15</v>
      </c>
      <c r="C18" s="23">
        <f>Cass!J25</f>
        <v>0</v>
      </c>
    </row>
    <row r="19" spans="1:3" s="15" customFormat="1">
      <c r="A19" s="13" t="s">
        <v>17</v>
      </c>
      <c r="B19" s="14">
        <v>16</v>
      </c>
      <c r="C19" s="23">
        <f>Cedar!J22</f>
        <v>0</v>
      </c>
    </row>
    <row r="20" spans="1:3">
      <c r="A20" s="7" t="s">
        <v>18</v>
      </c>
      <c r="B20" s="6">
        <v>17</v>
      </c>
      <c r="C20" s="23">
        <f>'Cerro Gordo'!J19</f>
        <v>0</v>
      </c>
    </row>
    <row r="21" spans="1:3">
      <c r="A21" s="7" t="s">
        <v>19</v>
      </c>
      <c r="B21" s="6">
        <v>18</v>
      </c>
      <c r="C21" s="23">
        <f>Cherokee!J23</f>
        <v>0</v>
      </c>
    </row>
    <row r="22" spans="1:3">
      <c r="A22" s="7" t="s">
        <v>20</v>
      </c>
      <c r="B22" s="6">
        <v>19</v>
      </c>
      <c r="C22" s="23">
        <f>Chickasaw!J20</f>
        <v>-34527.54999999993</v>
      </c>
    </row>
    <row r="23" spans="1:3">
      <c r="A23" s="7" t="s">
        <v>21</v>
      </c>
      <c r="B23" s="6">
        <v>20</v>
      </c>
      <c r="C23" s="23">
        <f>Clarke!J24</f>
        <v>0</v>
      </c>
    </row>
    <row r="24" spans="1:3" s="15" customFormat="1">
      <c r="A24" s="13" t="s">
        <v>22</v>
      </c>
      <c r="B24" s="14">
        <v>21</v>
      </c>
      <c r="C24" s="23">
        <f>Clay!J23</f>
        <v>0</v>
      </c>
    </row>
    <row r="25" spans="1:3">
      <c r="A25" s="7" t="s">
        <v>23</v>
      </c>
      <c r="B25" s="6">
        <v>22</v>
      </c>
      <c r="C25" s="23">
        <f>Clayton!J22</f>
        <v>0</v>
      </c>
    </row>
    <row r="26" spans="1:3">
      <c r="A26" s="7" t="s">
        <v>24</v>
      </c>
      <c r="B26" s="6">
        <v>23</v>
      </c>
      <c r="C26" s="23">
        <f>Clinton!J24</f>
        <v>0</v>
      </c>
    </row>
    <row r="27" spans="1:3">
      <c r="A27" s="7" t="s">
        <v>25</v>
      </c>
      <c r="B27" s="6">
        <v>24</v>
      </c>
      <c r="C27" s="23">
        <f>Crawford!J23</f>
        <v>-48340.760000000009</v>
      </c>
    </row>
    <row r="28" spans="1:3">
      <c r="A28" s="7" t="s">
        <v>26</v>
      </c>
      <c r="B28" s="6">
        <v>25</v>
      </c>
      <c r="C28" s="23">
        <f>Dallas!J22</f>
        <v>0</v>
      </c>
    </row>
    <row r="29" spans="1:3" s="15" customFormat="1">
      <c r="A29" s="13" t="s">
        <v>27</v>
      </c>
      <c r="B29" s="14">
        <v>26</v>
      </c>
      <c r="C29" s="23">
        <f>Davis!J22</f>
        <v>0</v>
      </c>
    </row>
    <row r="30" spans="1:3">
      <c r="A30" s="7" t="s">
        <v>28</v>
      </c>
      <c r="B30" s="6">
        <v>27</v>
      </c>
      <c r="C30" s="23">
        <f>Decatur!J27</f>
        <v>0</v>
      </c>
    </row>
    <row r="31" spans="1:3">
      <c r="A31" s="10" t="s">
        <v>29</v>
      </c>
      <c r="B31" s="11">
        <v>28</v>
      </c>
      <c r="C31" s="23">
        <f>Delaware!J18</f>
        <v>0</v>
      </c>
    </row>
    <row r="32" spans="1:3">
      <c r="A32" s="7" t="s">
        <v>30</v>
      </c>
      <c r="B32" s="6">
        <v>29</v>
      </c>
      <c r="C32" s="23">
        <f>'Des Moines'!J22</f>
        <v>0</v>
      </c>
    </row>
    <row r="33" spans="1:3">
      <c r="A33" s="7" t="s">
        <v>31</v>
      </c>
      <c r="B33" s="6">
        <v>30</v>
      </c>
      <c r="C33" s="23">
        <f>Dickinson!J21</f>
        <v>0</v>
      </c>
    </row>
    <row r="34" spans="1:3" s="15" customFormat="1">
      <c r="A34" s="13" t="s">
        <v>32</v>
      </c>
      <c r="B34" s="14">
        <v>31</v>
      </c>
      <c r="C34" s="23">
        <f>Dubuque!J21</f>
        <v>-21794.150000000023</v>
      </c>
    </row>
    <row r="35" spans="1:3">
      <c r="A35" s="7" t="s">
        <v>33</v>
      </c>
      <c r="B35" s="6">
        <v>32</v>
      </c>
      <c r="C35" s="23">
        <f>Emmet!J8</f>
        <v>0</v>
      </c>
    </row>
    <row r="36" spans="1:3">
      <c r="A36" s="7" t="s">
        <v>34</v>
      </c>
      <c r="B36" s="6">
        <v>33</v>
      </c>
      <c r="C36" s="23">
        <f>Fayette!J29</f>
        <v>0</v>
      </c>
    </row>
    <row r="37" spans="1:3">
      <c r="A37" s="7" t="s">
        <v>35</v>
      </c>
      <c r="B37" s="6">
        <v>34</v>
      </c>
      <c r="C37" s="23">
        <f>Floyd!J25</f>
        <v>0</v>
      </c>
    </row>
    <row r="38" spans="1:3">
      <c r="A38" s="7" t="s">
        <v>36</v>
      </c>
      <c r="B38" s="6">
        <v>35</v>
      </c>
      <c r="C38" s="23">
        <f>Franklin!J26</f>
        <v>0</v>
      </c>
    </row>
    <row r="39" spans="1:3" s="15" customFormat="1">
      <c r="A39" s="13" t="s">
        <v>37</v>
      </c>
      <c r="B39" s="14">
        <v>36</v>
      </c>
      <c r="C39" s="23">
        <f>Fremont!J23</f>
        <v>138063.04999999993</v>
      </c>
    </row>
    <row r="40" spans="1:3">
      <c r="A40" s="7" t="s">
        <v>38</v>
      </c>
      <c r="B40" s="6">
        <v>37</v>
      </c>
      <c r="C40" s="23">
        <f>Greene!J18</f>
        <v>0</v>
      </c>
    </row>
    <row r="41" spans="1:3">
      <c r="A41" s="7" t="s">
        <v>39</v>
      </c>
      <c r="B41" s="6">
        <v>38</v>
      </c>
      <c r="C41" s="23">
        <f>Grundy!J18</f>
        <v>0</v>
      </c>
    </row>
    <row r="42" spans="1:3">
      <c r="A42" s="7" t="s">
        <v>40</v>
      </c>
      <c r="B42" s="6">
        <v>39</v>
      </c>
      <c r="C42" s="23">
        <f>Guthrie!J21</f>
        <v>0</v>
      </c>
    </row>
    <row r="43" spans="1:3">
      <c r="A43" s="7" t="s">
        <v>41</v>
      </c>
      <c r="B43" s="6">
        <v>40</v>
      </c>
      <c r="C43" s="23">
        <f>Hamilton!J23</f>
        <v>22918.799999999988</v>
      </c>
    </row>
    <row r="44" spans="1:3" s="15" customFormat="1">
      <c r="A44" s="13" t="s">
        <v>42</v>
      </c>
      <c r="B44" s="14">
        <v>41</v>
      </c>
      <c r="C44" s="23">
        <f>Hancock!J28</f>
        <v>0</v>
      </c>
    </row>
    <row r="45" spans="1:3">
      <c r="A45" s="7" t="s">
        <v>43</v>
      </c>
      <c r="B45" s="6">
        <v>42</v>
      </c>
      <c r="C45" s="23">
        <f>Hardin!J25</f>
        <v>0</v>
      </c>
    </row>
    <row r="46" spans="1:3">
      <c r="A46" s="7" t="s">
        <v>44</v>
      </c>
      <c r="B46" s="6">
        <v>43</v>
      </c>
      <c r="C46" s="23">
        <f>Harrison!J18</f>
        <v>28191.799999999988</v>
      </c>
    </row>
    <row r="47" spans="1:3">
      <c r="A47" s="7" t="s">
        <v>45</v>
      </c>
      <c r="B47" s="6">
        <v>44</v>
      </c>
      <c r="C47" s="23">
        <f>Henry!J16</f>
        <v>0</v>
      </c>
    </row>
    <row r="48" spans="1:3">
      <c r="A48" s="7" t="s">
        <v>46</v>
      </c>
      <c r="B48" s="6">
        <v>45</v>
      </c>
      <c r="C48" s="23">
        <f>Howard!J27</f>
        <v>0</v>
      </c>
    </row>
    <row r="49" spans="1:3" s="15" customFormat="1">
      <c r="A49" s="13" t="s">
        <v>47</v>
      </c>
      <c r="B49" s="14">
        <v>46</v>
      </c>
      <c r="C49" s="23">
        <f>Humboldt!J22</f>
        <v>0</v>
      </c>
    </row>
    <row r="50" spans="1:3">
      <c r="A50" s="7" t="s">
        <v>48</v>
      </c>
      <c r="B50" s="6">
        <v>47</v>
      </c>
      <c r="C50" s="23">
        <f>Ida!J10</f>
        <v>0</v>
      </c>
    </row>
    <row r="51" spans="1:3">
      <c r="A51" s="7" t="s">
        <v>49</v>
      </c>
      <c r="B51" s="6">
        <v>48</v>
      </c>
      <c r="C51" s="23">
        <f>Iowa!J23</f>
        <v>0</v>
      </c>
    </row>
    <row r="52" spans="1:3">
      <c r="A52" s="7" t="s">
        <v>50</v>
      </c>
      <c r="B52" s="6">
        <v>49</v>
      </c>
      <c r="C52" s="23">
        <f>Jackson!J24</f>
        <v>0</v>
      </c>
    </row>
    <row r="53" spans="1:3">
      <c r="A53" s="7" t="s">
        <v>51</v>
      </c>
      <c r="B53" s="6">
        <v>50</v>
      </c>
      <c r="C53" s="23">
        <f>Jasper!J24</f>
        <v>164218.33000000007</v>
      </c>
    </row>
    <row r="54" spans="1:3" s="15" customFormat="1">
      <c r="A54" s="13" t="s">
        <v>52</v>
      </c>
      <c r="B54" s="14">
        <v>51</v>
      </c>
      <c r="C54" s="23">
        <f>Jefferson!J13</f>
        <v>695.30000000004657</v>
      </c>
    </row>
    <row r="55" spans="1:3">
      <c r="A55" s="7" t="s">
        <v>53</v>
      </c>
      <c r="B55" s="6">
        <v>52</v>
      </c>
      <c r="C55" s="23">
        <f>Johnson!J15</f>
        <v>0</v>
      </c>
    </row>
    <row r="56" spans="1:3">
      <c r="A56" s="7" t="s">
        <v>54</v>
      </c>
      <c r="B56" s="6">
        <v>53</v>
      </c>
      <c r="C56" s="23">
        <f>Jones!J18</f>
        <v>0</v>
      </c>
    </row>
    <row r="57" spans="1:3">
      <c r="A57" s="7" t="s">
        <v>55</v>
      </c>
      <c r="B57" s="6">
        <v>54</v>
      </c>
      <c r="C57" s="23">
        <f>Keokuk!J8</f>
        <v>0</v>
      </c>
    </row>
    <row r="58" spans="1:3">
      <c r="A58" s="7" t="s">
        <v>56</v>
      </c>
      <c r="B58" s="6">
        <v>55</v>
      </c>
      <c r="C58" s="23">
        <f>Kossuth!J22</f>
        <v>46922.20000000007</v>
      </c>
    </row>
    <row r="59" spans="1:3" s="15" customFormat="1">
      <c r="A59" s="13" t="s">
        <v>57</v>
      </c>
      <c r="B59" s="14">
        <v>56</v>
      </c>
      <c r="C59" s="23">
        <f>Lee!J21</f>
        <v>-27751.200000000041</v>
      </c>
    </row>
    <row r="60" spans="1:3">
      <c r="A60" s="7" t="s">
        <v>58</v>
      </c>
      <c r="B60" s="6">
        <v>57</v>
      </c>
      <c r="C60" s="23">
        <f>Linn!J22</f>
        <v>0</v>
      </c>
    </row>
    <row r="61" spans="1:3">
      <c r="A61" s="7" t="s">
        <v>59</v>
      </c>
      <c r="B61" s="6">
        <v>58</v>
      </c>
      <c r="C61" s="23">
        <f>Louisa!J8</f>
        <v>0</v>
      </c>
    </row>
    <row r="62" spans="1:3">
      <c r="A62" s="7" t="s">
        <v>60</v>
      </c>
      <c r="B62" s="6">
        <v>59</v>
      </c>
      <c r="C62" s="23">
        <f>Lucas!J23</f>
        <v>0</v>
      </c>
    </row>
    <row r="63" spans="1:3">
      <c r="A63" s="7" t="s">
        <v>61</v>
      </c>
      <c r="B63" s="6">
        <v>60</v>
      </c>
      <c r="C63" s="23">
        <f>Lyon!J24</f>
        <v>-40077</v>
      </c>
    </row>
    <row r="64" spans="1:3" s="15" customFormat="1">
      <c r="A64" s="13" t="s">
        <v>62</v>
      </c>
      <c r="B64" s="14">
        <v>61</v>
      </c>
      <c r="C64" s="23">
        <f>Madison!J25</f>
        <v>0</v>
      </c>
    </row>
    <row r="65" spans="1:3">
      <c r="A65" s="7" t="s">
        <v>63</v>
      </c>
      <c r="B65" s="6">
        <v>62</v>
      </c>
      <c r="C65" s="23">
        <f>Mahaska!J25</f>
        <v>0</v>
      </c>
    </row>
    <row r="66" spans="1:3">
      <c r="A66" s="7" t="s">
        <v>64</v>
      </c>
      <c r="B66" s="6">
        <v>63</v>
      </c>
      <c r="C66" s="23">
        <f>Marion!J15</f>
        <v>0</v>
      </c>
    </row>
    <row r="67" spans="1:3">
      <c r="A67" s="7" t="s">
        <v>65</v>
      </c>
      <c r="B67" s="6">
        <v>64</v>
      </c>
      <c r="C67" s="23">
        <f>Marshall!J25</f>
        <v>0</v>
      </c>
    </row>
    <row r="68" spans="1:3">
      <c r="A68" s="7" t="s">
        <v>66</v>
      </c>
      <c r="B68" s="6">
        <v>65</v>
      </c>
      <c r="C68" s="23">
        <f>Mills!J24</f>
        <v>0</v>
      </c>
    </row>
    <row r="69" spans="1:3" s="15" customFormat="1">
      <c r="A69" s="13" t="s">
        <v>67</v>
      </c>
      <c r="B69" s="14">
        <v>66</v>
      </c>
      <c r="C69" s="23">
        <f>Mitchell!J20</f>
        <v>120373.70000000019</v>
      </c>
    </row>
    <row r="70" spans="1:3">
      <c r="A70" s="7" t="s">
        <v>68</v>
      </c>
      <c r="B70" s="6">
        <v>67</v>
      </c>
      <c r="C70" s="23">
        <f>Monona!J20</f>
        <v>0</v>
      </c>
    </row>
    <row r="71" spans="1:3">
      <c r="A71" s="7" t="s">
        <v>69</v>
      </c>
      <c r="B71" s="6">
        <v>68</v>
      </c>
      <c r="C71" s="23">
        <f>Monroe!J17</f>
        <v>0</v>
      </c>
    </row>
    <row r="72" spans="1:3">
      <c r="A72" s="7" t="s">
        <v>70</v>
      </c>
      <c r="B72" s="6">
        <v>69</v>
      </c>
      <c r="C72" s="23">
        <f>Montgomery!J21</f>
        <v>0</v>
      </c>
    </row>
    <row r="73" spans="1:3">
      <c r="A73" s="7" t="s">
        <v>71</v>
      </c>
      <c r="B73" s="6">
        <v>70</v>
      </c>
      <c r="C73" s="23">
        <f>Muscatine!J24</f>
        <v>0</v>
      </c>
    </row>
    <row r="74" spans="1:3" s="15" customFormat="1">
      <c r="A74" s="13" t="s">
        <v>72</v>
      </c>
      <c r="B74" s="14">
        <v>71</v>
      </c>
      <c r="C74" s="23">
        <f>'O''Brien'!J8</f>
        <v>0</v>
      </c>
    </row>
    <row r="75" spans="1:3">
      <c r="A75" s="7" t="s">
        <v>73</v>
      </c>
      <c r="B75" s="6">
        <v>72</v>
      </c>
      <c r="C75" s="23">
        <f>Osceola!J22</f>
        <v>0</v>
      </c>
    </row>
    <row r="76" spans="1:3">
      <c r="A76" s="7" t="s">
        <v>74</v>
      </c>
      <c r="B76" s="6">
        <v>73</v>
      </c>
      <c r="C76" s="23">
        <f>Page!J31</f>
        <v>83618.249999999825</v>
      </c>
    </row>
    <row r="77" spans="1:3">
      <c r="A77" s="7" t="s">
        <v>75</v>
      </c>
      <c r="B77" s="6">
        <v>74</v>
      </c>
      <c r="C77" s="23">
        <f>'Palo Alto'!J21</f>
        <v>0</v>
      </c>
    </row>
    <row r="78" spans="1:3">
      <c r="A78" s="10" t="s">
        <v>76</v>
      </c>
      <c r="B78" s="11">
        <v>75</v>
      </c>
      <c r="C78" s="23">
        <f>Plymouth!J19</f>
        <v>0</v>
      </c>
    </row>
    <row r="79" spans="1:3" s="15" customFormat="1">
      <c r="A79" s="13" t="s">
        <v>77</v>
      </c>
      <c r="B79" s="14">
        <v>76</v>
      </c>
      <c r="C79" s="23">
        <f>Pocahontas!J25</f>
        <v>0</v>
      </c>
    </row>
    <row r="80" spans="1:3">
      <c r="A80" s="7" t="s">
        <v>78</v>
      </c>
      <c r="B80" s="6">
        <v>77</v>
      </c>
      <c r="C80" s="23">
        <f>Polk!J23</f>
        <v>0</v>
      </c>
    </row>
    <row r="81" spans="1:3">
      <c r="A81" s="7" t="s">
        <v>79</v>
      </c>
      <c r="B81" s="6">
        <v>78</v>
      </c>
      <c r="C81" s="23">
        <f>Pottawattamie!J23</f>
        <v>0</v>
      </c>
    </row>
    <row r="82" spans="1:3">
      <c r="A82" s="7" t="s">
        <v>80</v>
      </c>
      <c r="B82" s="6">
        <v>79</v>
      </c>
      <c r="C82" s="23">
        <f>Poweshiek!J22</f>
        <v>-1131.6800000000512</v>
      </c>
    </row>
    <row r="83" spans="1:3">
      <c r="A83" s="7" t="s">
        <v>81</v>
      </c>
      <c r="B83" s="6">
        <v>80</v>
      </c>
      <c r="C83" s="23">
        <f>Ringgold!J17</f>
        <v>0</v>
      </c>
    </row>
    <row r="84" spans="1:3" s="15" customFormat="1">
      <c r="A84" s="13" t="s">
        <v>82</v>
      </c>
      <c r="B84" s="14">
        <v>81</v>
      </c>
      <c r="C84" s="23">
        <f>Sac!J23</f>
        <v>0</v>
      </c>
    </row>
    <row r="85" spans="1:3">
      <c r="A85" s="7" t="s">
        <v>83</v>
      </c>
      <c r="B85" s="6">
        <v>82</v>
      </c>
      <c r="C85" s="23">
        <f>Scott!J18</f>
        <v>0</v>
      </c>
    </row>
    <row r="86" spans="1:3">
      <c r="A86" s="7" t="s">
        <v>84</v>
      </c>
      <c r="B86" s="6">
        <v>83</v>
      </c>
      <c r="C86" s="23">
        <f>Shelby!J13</f>
        <v>0</v>
      </c>
    </row>
    <row r="87" spans="1:3">
      <c r="A87" s="7" t="s">
        <v>85</v>
      </c>
      <c r="B87" s="6">
        <v>84</v>
      </c>
      <c r="C87" s="23">
        <f>Sioux!J21</f>
        <v>0</v>
      </c>
    </row>
    <row r="88" spans="1:3">
      <c r="A88" s="7" t="s">
        <v>86</v>
      </c>
      <c r="B88" s="6">
        <v>85</v>
      </c>
      <c r="C88" s="23">
        <f>Story!J21</f>
        <v>0</v>
      </c>
    </row>
    <row r="89" spans="1:3" s="15" customFormat="1">
      <c r="A89" s="13" t="s">
        <v>87</v>
      </c>
      <c r="B89" s="14">
        <v>86</v>
      </c>
      <c r="C89" s="23">
        <f>Tama!J28</f>
        <v>0</v>
      </c>
    </row>
    <row r="90" spans="1:3">
      <c r="A90" s="7" t="s">
        <v>88</v>
      </c>
      <c r="B90" s="6">
        <v>87</v>
      </c>
      <c r="C90" s="23">
        <f>Taylor!J22</f>
        <v>0</v>
      </c>
    </row>
    <row r="91" spans="1:3">
      <c r="A91" s="7" t="s">
        <v>89</v>
      </c>
      <c r="B91" s="6">
        <v>88</v>
      </c>
      <c r="C91" s="23">
        <f>Union!J25</f>
        <v>0</v>
      </c>
    </row>
    <row r="92" spans="1:3">
      <c r="A92" s="7" t="s">
        <v>90</v>
      </c>
      <c r="B92" s="6">
        <v>89</v>
      </c>
      <c r="C92" s="23">
        <f>'Van Buren'!J24</f>
        <v>0</v>
      </c>
    </row>
    <row r="93" spans="1:3">
      <c r="A93" s="7" t="s">
        <v>91</v>
      </c>
      <c r="B93" s="6">
        <v>90</v>
      </c>
      <c r="C93" s="23">
        <f>Wapello!J19</f>
        <v>-6262.6500000000233</v>
      </c>
    </row>
    <row r="94" spans="1:3" s="15" customFormat="1">
      <c r="A94" s="13" t="s">
        <v>92</v>
      </c>
      <c r="B94" s="14">
        <v>91</v>
      </c>
      <c r="C94" s="23">
        <f>Warren!J19</f>
        <v>0</v>
      </c>
    </row>
    <row r="95" spans="1:3">
      <c r="A95" s="12" t="s">
        <v>93</v>
      </c>
      <c r="B95" s="11">
        <v>92</v>
      </c>
      <c r="C95" s="23">
        <f>Washington!J29</f>
        <v>0</v>
      </c>
    </row>
    <row r="96" spans="1:3">
      <c r="A96" s="8" t="s">
        <v>94</v>
      </c>
      <c r="B96" s="6">
        <v>93</v>
      </c>
      <c r="C96" s="23">
        <f>Wayne!J28</f>
        <v>0</v>
      </c>
    </row>
    <row r="97" spans="1:3">
      <c r="A97" s="8" t="s">
        <v>95</v>
      </c>
      <c r="B97" s="6">
        <v>94</v>
      </c>
      <c r="C97" s="23">
        <f>Webster!J20</f>
        <v>0</v>
      </c>
    </row>
    <row r="98" spans="1:3">
      <c r="A98" s="8" t="s">
        <v>96</v>
      </c>
      <c r="B98" s="6">
        <v>95</v>
      </c>
      <c r="C98" s="23">
        <f>Winnebago!J26</f>
        <v>-3011.710000000021</v>
      </c>
    </row>
    <row r="99" spans="1:3" s="15" customFormat="1">
      <c r="A99" s="16" t="s">
        <v>97</v>
      </c>
      <c r="B99" s="14">
        <v>96</v>
      </c>
      <c r="C99" s="23">
        <f>Winneshiek!J20</f>
        <v>0</v>
      </c>
    </row>
    <row r="100" spans="1:3">
      <c r="A100" s="8" t="s">
        <v>98</v>
      </c>
      <c r="B100" s="6">
        <v>97</v>
      </c>
      <c r="C100" s="23">
        <f>Woodbury!J23</f>
        <v>32784.98000000004</v>
      </c>
    </row>
    <row r="101" spans="1:3">
      <c r="A101" s="8" t="s">
        <v>99</v>
      </c>
      <c r="B101" s="6">
        <v>98</v>
      </c>
      <c r="C101" s="23">
        <f>Worth!J22</f>
        <v>0</v>
      </c>
    </row>
    <row r="102" spans="1:3">
      <c r="A102" s="7" t="s">
        <v>100</v>
      </c>
      <c r="B102" s="6">
        <v>99</v>
      </c>
      <c r="C102" s="23">
        <f>Wright!J26</f>
        <v>17689.430000000051</v>
      </c>
    </row>
    <row r="103" spans="1:3" s="15" customFormat="1">
      <c r="C103" s="23">
        <f>SUM(C4:C102)</f>
        <v>413302.27000000031</v>
      </c>
    </row>
  </sheetData>
  <mergeCells count="3">
    <mergeCell ref="C1:C3"/>
    <mergeCell ref="A1:A3"/>
    <mergeCell ref="B1:B3"/>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842D0-B912-415B-A84F-E6A38BCD64C9}">
  <dimension ref="A1:K27"/>
  <sheetViews>
    <sheetView workbookViewId="0">
      <selection activeCell="D11" sqref="D11"/>
    </sheetView>
  </sheetViews>
  <sheetFormatPr defaultRowHeight="15"/>
  <cols>
    <col min="2" max="2" width="22.85546875" bestFit="1" customWidth="1"/>
    <col min="3" max="3" width="12" bestFit="1" customWidth="1"/>
    <col min="4" max="4" width="12" customWidth="1"/>
    <col min="5" max="5" width="10.7109375" style="432" bestFit="1" customWidth="1"/>
    <col min="6" max="6" width="15" style="432" customWidth="1"/>
    <col min="7" max="7" width="10.7109375" style="432" bestFit="1" customWidth="1"/>
    <col min="8" max="8" width="15" style="432" customWidth="1"/>
    <col min="9" max="9" width="10.7109375" bestFit="1" customWidth="1"/>
    <col min="10" max="10" width="15" customWidth="1"/>
  </cols>
  <sheetData>
    <row r="1" spans="1:11" ht="15.75" thickBot="1">
      <c r="A1" s="952" t="s">
        <v>179</v>
      </c>
      <c r="B1" s="953"/>
      <c r="C1" s="953"/>
      <c r="D1" s="953"/>
      <c r="E1" s="953"/>
      <c r="F1" s="953"/>
      <c r="G1" s="953"/>
      <c r="H1" s="953"/>
      <c r="I1" s="953"/>
      <c r="J1" s="954"/>
    </row>
    <row r="2" spans="1:11" s="432" customFormat="1">
      <c r="A2" s="976" t="s">
        <v>110</v>
      </c>
      <c r="B2" s="978" t="s">
        <v>111</v>
      </c>
      <c r="C2" s="978" t="s">
        <v>112</v>
      </c>
      <c r="D2" s="980" t="s">
        <v>120</v>
      </c>
      <c r="E2" s="957" t="s">
        <v>701</v>
      </c>
      <c r="F2" s="958"/>
      <c r="G2" s="957" t="s">
        <v>702</v>
      </c>
      <c r="H2" s="958"/>
      <c r="I2" s="932" t="s">
        <v>796</v>
      </c>
      <c r="J2" s="933"/>
    </row>
    <row r="3" spans="1:11" ht="46.5" thickBot="1">
      <c r="A3" s="977"/>
      <c r="B3" s="979"/>
      <c r="C3" s="979"/>
      <c r="D3" s="981"/>
      <c r="E3" s="460" t="s">
        <v>121</v>
      </c>
      <c r="F3" s="468" t="s">
        <v>704</v>
      </c>
      <c r="G3" s="460" t="s">
        <v>121</v>
      </c>
      <c r="H3" s="468" t="s">
        <v>704</v>
      </c>
      <c r="I3" s="478" t="s">
        <v>121</v>
      </c>
      <c r="J3" s="25" t="s">
        <v>704</v>
      </c>
    </row>
    <row r="4" spans="1:11">
      <c r="A4" s="70">
        <v>43852</v>
      </c>
      <c r="B4" s="257" t="s">
        <v>202</v>
      </c>
      <c r="C4" s="781">
        <v>1184493.3999999999</v>
      </c>
      <c r="D4" s="787">
        <v>236898.68</v>
      </c>
      <c r="E4" s="794"/>
      <c r="F4" s="803" t="str">
        <f>IF(ISBLANK(E4),"----",E4-$D4)</f>
        <v>----</v>
      </c>
      <c r="G4" s="794"/>
      <c r="H4" s="803" t="str">
        <f t="shared" ref="H4:H26" si="0">IF(OR(G4="Complete",ISBLANK(G4)),"----",G4-$D4)</f>
        <v>----</v>
      </c>
      <c r="I4" s="791"/>
      <c r="J4" s="804" t="str">
        <f t="shared" ref="J4:J26" si="1">IF(OR(I4="Complete",ISBLANK(I4)),"----",I4-$D4)</f>
        <v>----</v>
      </c>
      <c r="K4" t="s">
        <v>204</v>
      </c>
    </row>
    <row r="5" spans="1:11">
      <c r="A5" s="91">
        <v>43852</v>
      </c>
      <c r="B5" s="260" t="s">
        <v>203</v>
      </c>
      <c r="C5" s="782">
        <v>575252.1</v>
      </c>
      <c r="D5" s="797">
        <f>C5</f>
        <v>575252.1</v>
      </c>
      <c r="E5" s="799">
        <v>588052.5</v>
      </c>
      <c r="F5" s="662">
        <f t="shared" ref="F5:F26" si="2">IF(ISBLANK(E5),"----",E5-$D5)</f>
        <v>12800.400000000023</v>
      </c>
      <c r="G5" s="799" t="s">
        <v>703</v>
      </c>
      <c r="H5" s="662" t="str">
        <f t="shared" si="0"/>
        <v>----</v>
      </c>
      <c r="I5" s="798" t="s">
        <v>703</v>
      </c>
      <c r="J5" s="663" t="str">
        <f t="shared" si="1"/>
        <v>----</v>
      </c>
    </row>
    <row r="6" spans="1:11">
      <c r="A6" s="102">
        <v>44551</v>
      </c>
      <c r="B6" s="256" t="s">
        <v>479</v>
      </c>
      <c r="C6" s="770">
        <v>274210.65000000002</v>
      </c>
      <c r="D6" s="729">
        <f>C6</f>
        <v>274210.65000000002</v>
      </c>
      <c r="E6" s="739">
        <v>270878.15000000002</v>
      </c>
      <c r="F6" s="771">
        <f t="shared" si="2"/>
        <v>-3332.5</v>
      </c>
      <c r="G6" s="739" t="s">
        <v>703</v>
      </c>
      <c r="H6" s="771" t="str">
        <f t="shared" si="0"/>
        <v>----</v>
      </c>
      <c r="I6" s="734" t="s">
        <v>703</v>
      </c>
      <c r="J6" s="772" t="str">
        <f t="shared" si="1"/>
        <v>----</v>
      </c>
    </row>
    <row r="7" spans="1:11">
      <c r="A7" s="102">
        <v>44551</v>
      </c>
      <c r="B7" s="256" t="s">
        <v>480</v>
      </c>
      <c r="C7" s="770">
        <v>268305.05</v>
      </c>
      <c r="D7" s="729">
        <f>C7</f>
        <v>268305.05</v>
      </c>
      <c r="E7" s="739">
        <v>263971.55</v>
      </c>
      <c r="F7" s="771">
        <f t="shared" si="2"/>
        <v>-4333.5</v>
      </c>
      <c r="G7" s="739" t="s">
        <v>703</v>
      </c>
      <c r="H7" s="771" t="str">
        <f t="shared" si="0"/>
        <v>----</v>
      </c>
      <c r="I7" s="734" t="s">
        <v>703</v>
      </c>
      <c r="J7" s="772" t="str">
        <f t="shared" si="1"/>
        <v>----</v>
      </c>
    </row>
    <row r="8" spans="1:11">
      <c r="A8" s="102">
        <v>44880</v>
      </c>
      <c r="B8" s="256" t="s">
        <v>590</v>
      </c>
      <c r="C8" s="770">
        <v>943792.4</v>
      </c>
      <c r="D8" s="729">
        <f>C8</f>
        <v>943792.4</v>
      </c>
      <c r="E8" s="739"/>
      <c r="F8" s="771" t="str">
        <f t="shared" si="2"/>
        <v>----</v>
      </c>
      <c r="G8" s="739">
        <v>940090.26</v>
      </c>
      <c r="H8" s="771">
        <f t="shared" si="0"/>
        <v>-3702.140000000014</v>
      </c>
      <c r="I8" s="734" t="s">
        <v>703</v>
      </c>
      <c r="J8" s="772" t="str">
        <f t="shared" si="1"/>
        <v>----</v>
      </c>
    </row>
    <row r="9" spans="1:11">
      <c r="A9" s="102">
        <v>44915</v>
      </c>
      <c r="B9" s="256" t="s">
        <v>607</v>
      </c>
      <c r="C9" s="770">
        <v>530035</v>
      </c>
      <c r="D9" s="729">
        <f>106007+424028</f>
        <v>530035</v>
      </c>
      <c r="E9" s="739"/>
      <c r="F9" s="771" t="str">
        <f t="shared" si="2"/>
        <v>----</v>
      </c>
      <c r="G9" s="739"/>
      <c r="H9" s="771" t="str">
        <f t="shared" si="0"/>
        <v>----</v>
      </c>
      <c r="I9" s="734"/>
      <c r="J9" s="772" t="str">
        <f t="shared" si="1"/>
        <v>----</v>
      </c>
    </row>
    <row r="10" spans="1:11">
      <c r="A10" s="102">
        <v>45916</v>
      </c>
      <c r="B10" s="256" t="s">
        <v>904</v>
      </c>
      <c r="C10" s="770">
        <v>1599950.58</v>
      </c>
      <c r="D10" s="729">
        <f>C10*0.2</f>
        <v>319990.11600000004</v>
      </c>
      <c r="E10" s="739"/>
      <c r="F10" s="771" t="str">
        <f t="shared" si="2"/>
        <v>----</v>
      </c>
      <c r="G10" s="739"/>
      <c r="H10" s="771" t="str">
        <f t="shared" si="0"/>
        <v>----</v>
      </c>
      <c r="I10" s="734"/>
      <c r="J10" s="772" t="str">
        <f t="shared" si="1"/>
        <v>----</v>
      </c>
      <c r="K10" t="s">
        <v>905</v>
      </c>
    </row>
    <row r="11" spans="1:11">
      <c r="A11" s="102"/>
      <c r="B11" s="256"/>
      <c r="C11" s="770"/>
      <c r="D11" s="729"/>
      <c r="E11" s="739"/>
      <c r="F11" s="771" t="str">
        <f t="shared" si="2"/>
        <v>----</v>
      </c>
      <c r="G11" s="739"/>
      <c r="H11" s="771" t="str">
        <f t="shared" si="0"/>
        <v>----</v>
      </c>
      <c r="I11" s="734"/>
      <c r="J11" s="772" t="str">
        <f t="shared" si="1"/>
        <v>----</v>
      </c>
    </row>
    <row r="12" spans="1:11">
      <c r="A12" s="102"/>
      <c r="B12" s="256"/>
      <c r="C12" s="770"/>
      <c r="D12" s="729"/>
      <c r="E12" s="739"/>
      <c r="F12" s="771" t="str">
        <f t="shared" si="2"/>
        <v>----</v>
      </c>
      <c r="G12" s="739"/>
      <c r="H12" s="771" t="str">
        <f t="shared" si="0"/>
        <v>----</v>
      </c>
      <c r="I12" s="734"/>
      <c r="J12" s="772" t="str">
        <f t="shared" si="1"/>
        <v>----</v>
      </c>
    </row>
    <row r="13" spans="1:11">
      <c r="A13" s="102"/>
      <c r="B13" s="256"/>
      <c r="C13" s="770"/>
      <c r="D13" s="729"/>
      <c r="E13" s="739"/>
      <c r="F13" s="771" t="str">
        <f t="shared" si="2"/>
        <v>----</v>
      </c>
      <c r="G13" s="739"/>
      <c r="H13" s="771" t="str">
        <f t="shared" si="0"/>
        <v>----</v>
      </c>
      <c r="I13" s="734"/>
      <c r="J13" s="772" t="str">
        <f t="shared" si="1"/>
        <v>----</v>
      </c>
    </row>
    <row r="14" spans="1:11">
      <c r="A14" s="102"/>
      <c r="B14" s="256"/>
      <c r="C14" s="770"/>
      <c r="D14" s="729"/>
      <c r="E14" s="739"/>
      <c r="F14" s="771" t="str">
        <f t="shared" si="2"/>
        <v>----</v>
      </c>
      <c r="G14" s="739"/>
      <c r="H14" s="771" t="str">
        <f t="shared" si="0"/>
        <v>----</v>
      </c>
      <c r="I14" s="734"/>
      <c r="J14" s="772" t="str">
        <f t="shared" si="1"/>
        <v>----</v>
      </c>
    </row>
    <row r="15" spans="1:11">
      <c r="A15" s="102"/>
      <c r="B15" s="256"/>
      <c r="C15" s="770"/>
      <c r="D15" s="729"/>
      <c r="E15" s="739"/>
      <c r="F15" s="771" t="str">
        <f t="shared" si="2"/>
        <v>----</v>
      </c>
      <c r="G15" s="739"/>
      <c r="H15" s="771" t="str">
        <f t="shared" si="0"/>
        <v>----</v>
      </c>
      <c r="I15" s="734"/>
      <c r="J15" s="772" t="str">
        <f t="shared" si="1"/>
        <v>----</v>
      </c>
    </row>
    <row r="16" spans="1:11">
      <c r="A16" s="102"/>
      <c r="B16" s="256"/>
      <c r="C16" s="770"/>
      <c r="D16" s="729"/>
      <c r="E16" s="739"/>
      <c r="F16" s="771" t="str">
        <f t="shared" si="2"/>
        <v>----</v>
      </c>
      <c r="G16" s="739"/>
      <c r="H16" s="771" t="str">
        <f t="shared" si="0"/>
        <v>----</v>
      </c>
      <c r="I16" s="734"/>
      <c r="J16" s="772" t="str">
        <f t="shared" si="1"/>
        <v>----</v>
      </c>
    </row>
    <row r="17" spans="1:10">
      <c r="A17" s="102"/>
      <c r="B17" s="256"/>
      <c r="C17" s="770"/>
      <c r="D17" s="729"/>
      <c r="E17" s="739"/>
      <c r="F17" s="771" t="str">
        <f t="shared" si="2"/>
        <v>----</v>
      </c>
      <c r="G17" s="739"/>
      <c r="H17" s="771" t="str">
        <f t="shared" si="0"/>
        <v>----</v>
      </c>
      <c r="I17" s="734"/>
      <c r="J17" s="772" t="str">
        <f t="shared" si="1"/>
        <v>----</v>
      </c>
    </row>
    <row r="18" spans="1:10">
      <c r="A18" s="102"/>
      <c r="B18" s="256"/>
      <c r="C18" s="770"/>
      <c r="D18" s="729"/>
      <c r="E18" s="739"/>
      <c r="F18" s="771" t="str">
        <f t="shared" si="2"/>
        <v>----</v>
      </c>
      <c r="G18" s="739"/>
      <c r="H18" s="771" t="str">
        <f t="shared" si="0"/>
        <v>----</v>
      </c>
      <c r="I18" s="734"/>
      <c r="J18" s="772" t="str">
        <f t="shared" si="1"/>
        <v>----</v>
      </c>
    </row>
    <row r="19" spans="1:10">
      <c r="A19" s="102"/>
      <c r="B19" s="256"/>
      <c r="C19" s="770"/>
      <c r="D19" s="729"/>
      <c r="E19" s="739"/>
      <c r="F19" s="771" t="str">
        <f t="shared" si="2"/>
        <v>----</v>
      </c>
      <c r="G19" s="739"/>
      <c r="H19" s="771" t="str">
        <f t="shared" si="0"/>
        <v>----</v>
      </c>
      <c r="I19" s="734"/>
      <c r="J19" s="772" t="str">
        <f t="shared" si="1"/>
        <v>----</v>
      </c>
    </row>
    <row r="20" spans="1:10">
      <c r="A20" s="102"/>
      <c r="B20" s="256"/>
      <c r="C20" s="770"/>
      <c r="D20" s="729"/>
      <c r="E20" s="739"/>
      <c r="F20" s="771" t="str">
        <f t="shared" si="2"/>
        <v>----</v>
      </c>
      <c r="G20" s="739"/>
      <c r="H20" s="771" t="str">
        <f t="shared" si="0"/>
        <v>----</v>
      </c>
      <c r="I20" s="734"/>
      <c r="J20" s="772" t="str">
        <f t="shared" si="1"/>
        <v>----</v>
      </c>
    </row>
    <row r="21" spans="1:10">
      <c r="A21" s="102"/>
      <c r="B21" s="256"/>
      <c r="C21" s="770"/>
      <c r="D21" s="729"/>
      <c r="E21" s="739"/>
      <c r="F21" s="771" t="str">
        <f t="shared" si="2"/>
        <v>----</v>
      </c>
      <c r="G21" s="739"/>
      <c r="H21" s="771" t="str">
        <f t="shared" si="0"/>
        <v>----</v>
      </c>
      <c r="I21" s="734"/>
      <c r="J21" s="772" t="str">
        <f t="shared" si="1"/>
        <v>----</v>
      </c>
    </row>
    <row r="22" spans="1:10">
      <c r="A22" s="102"/>
      <c r="B22" s="256"/>
      <c r="C22" s="770"/>
      <c r="D22" s="729"/>
      <c r="E22" s="739"/>
      <c r="F22" s="771" t="str">
        <f t="shared" si="2"/>
        <v>----</v>
      </c>
      <c r="G22" s="739"/>
      <c r="H22" s="771" t="str">
        <f t="shared" si="0"/>
        <v>----</v>
      </c>
      <c r="I22" s="734"/>
      <c r="J22" s="772" t="str">
        <f t="shared" si="1"/>
        <v>----</v>
      </c>
    </row>
    <row r="23" spans="1:10">
      <c r="A23" s="102"/>
      <c r="B23" s="256"/>
      <c r="C23" s="770"/>
      <c r="D23" s="729"/>
      <c r="E23" s="739"/>
      <c r="F23" s="771" t="str">
        <f t="shared" si="2"/>
        <v>----</v>
      </c>
      <c r="G23" s="739"/>
      <c r="H23" s="771" t="str">
        <f t="shared" si="0"/>
        <v>----</v>
      </c>
      <c r="I23" s="734"/>
      <c r="J23" s="772" t="str">
        <f t="shared" si="1"/>
        <v>----</v>
      </c>
    </row>
    <row r="24" spans="1:10">
      <c r="A24" s="102"/>
      <c r="B24" s="256"/>
      <c r="C24" s="770"/>
      <c r="D24" s="729"/>
      <c r="E24" s="739"/>
      <c r="F24" s="771" t="str">
        <f t="shared" si="2"/>
        <v>----</v>
      </c>
      <c r="G24" s="739"/>
      <c r="H24" s="771" t="str">
        <f t="shared" si="0"/>
        <v>----</v>
      </c>
      <c r="I24" s="734"/>
      <c r="J24" s="772" t="str">
        <f t="shared" si="1"/>
        <v>----</v>
      </c>
    </row>
    <row r="25" spans="1:10">
      <c r="A25" s="116"/>
      <c r="B25" s="259"/>
      <c r="C25" s="773"/>
      <c r="D25" s="789"/>
      <c r="E25" s="740"/>
      <c r="F25" s="774" t="str">
        <f t="shared" si="2"/>
        <v>----</v>
      </c>
      <c r="G25" s="740"/>
      <c r="H25" s="774" t="str">
        <f t="shared" si="0"/>
        <v>----</v>
      </c>
      <c r="I25" s="735"/>
      <c r="J25" s="775" t="str">
        <f t="shared" si="1"/>
        <v>----</v>
      </c>
    </row>
    <row r="26" spans="1:10" ht="15.75" thickBot="1">
      <c r="A26" s="74"/>
      <c r="B26" s="75"/>
      <c r="C26" s="783"/>
      <c r="D26" s="790"/>
      <c r="E26" s="796"/>
      <c r="F26" s="801" t="str">
        <f t="shared" si="2"/>
        <v>----</v>
      </c>
      <c r="G26" s="796"/>
      <c r="H26" s="801" t="str">
        <f t="shared" si="0"/>
        <v>----</v>
      </c>
      <c r="I26" s="793"/>
      <c r="J26" s="802" t="str">
        <f t="shared" si="1"/>
        <v>----</v>
      </c>
    </row>
    <row r="27" spans="1:10" ht="15.75" thickBot="1">
      <c r="A27" s="27"/>
      <c r="B27" s="27"/>
      <c r="C27" s="28"/>
      <c r="D27" s="28"/>
      <c r="E27" s="439"/>
      <c r="F27" s="441">
        <f>SUM(F4:F26)</f>
        <v>5134.4000000000233</v>
      </c>
      <c r="G27" s="439"/>
      <c r="H27" s="441">
        <f>SUM(H4:H26)</f>
        <v>-3702.140000000014</v>
      </c>
      <c r="I27" s="28"/>
      <c r="J27" s="69">
        <f>SUM(J4:J26)</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D11EA-238F-4594-9CA9-0F449751C3F5}">
  <dimension ref="A1:J18"/>
  <sheetViews>
    <sheetView workbookViewId="0">
      <selection activeCell="D8" sqref="D8"/>
    </sheetView>
  </sheetViews>
  <sheetFormatPr defaultRowHeight="15"/>
  <cols>
    <col min="2" max="2" width="22.85546875" bestFit="1" customWidth="1"/>
    <col min="3" max="4" width="10.7109375" bestFit="1" customWidth="1"/>
    <col min="5" max="5" width="10.7109375" style="432" bestFit="1" customWidth="1"/>
    <col min="6" max="6" width="10.42578125" style="432" bestFit="1" customWidth="1"/>
    <col min="7" max="7" width="10.7109375" style="432" bestFit="1" customWidth="1"/>
    <col min="8" max="8" width="10.42578125" style="432" bestFit="1" customWidth="1"/>
    <col min="9" max="9" width="10.7109375" bestFit="1" customWidth="1"/>
    <col min="10" max="10" width="10.42578125" bestFit="1" customWidth="1"/>
  </cols>
  <sheetData>
    <row r="1" spans="1:10" ht="15.75" thickBot="1">
      <c r="A1" s="952" t="s">
        <v>256</v>
      </c>
      <c r="B1" s="953"/>
      <c r="C1" s="953"/>
      <c r="D1" s="953"/>
      <c r="E1" s="953"/>
      <c r="F1" s="953"/>
      <c r="G1" s="953"/>
      <c r="H1" s="953"/>
      <c r="I1" s="953"/>
      <c r="J1" s="954"/>
    </row>
    <row r="2" spans="1:10" s="432" customFormat="1">
      <c r="A2" s="959" t="s">
        <v>110</v>
      </c>
      <c r="B2" s="961" t="s">
        <v>111</v>
      </c>
      <c r="C2" s="961" t="s">
        <v>112</v>
      </c>
      <c r="D2" s="963" t="s">
        <v>120</v>
      </c>
      <c r="E2" s="957" t="s">
        <v>701</v>
      </c>
      <c r="F2" s="958"/>
      <c r="G2" s="957" t="s">
        <v>702</v>
      </c>
      <c r="H2" s="958"/>
      <c r="I2" s="932" t="s">
        <v>796</v>
      </c>
      <c r="J2" s="933"/>
    </row>
    <row r="3" spans="1:10" ht="57.75" thickBot="1">
      <c r="A3" s="960"/>
      <c r="B3" s="962"/>
      <c r="C3" s="962"/>
      <c r="D3" s="964"/>
      <c r="E3" s="460" t="s">
        <v>121</v>
      </c>
      <c r="F3" s="468" t="s">
        <v>704</v>
      </c>
      <c r="G3" s="460" t="s">
        <v>121</v>
      </c>
      <c r="H3" s="468" t="s">
        <v>704</v>
      </c>
      <c r="I3" s="478" t="s">
        <v>121</v>
      </c>
      <c r="J3" s="25" t="s">
        <v>704</v>
      </c>
    </row>
    <row r="4" spans="1:10">
      <c r="A4" s="70">
        <v>44180</v>
      </c>
      <c r="B4" s="71" t="s">
        <v>361</v>
      </c>
      <c r="C4" s="72">
        <v>408767.3</v>
      </c>
      <c r="D4" s="429">
        <f>C4</f>
        <v>408767.3</v>
      </c>
      <c r="E4" s="469">
        <v>400462.08000000002</v>
      </c>
      <c r="F4" s="470">
        <f>IF(ISBLANK(E4),"----",E4-$D4)</f>
        <v>-8305.2199999999721</v>
      </c>
      <c r="G4" s="469" t="s">
        <v>703</v>
      </c>
      <c r="H4" s="470" t="str">
        <f t="shared" ref="H4:H17" si="0">IF(OR(G4="Complete",ISBLANK(G4)),"----",G4-$D4)</f>
        <v>----</v>
      </c>
      <c r="I4" s="479" t="s">
        <v>703</v>
      </c>
      <c r="J4" s="73" t="str">
        <f t="shared" ref="J4:J17" si="1">IF(OR(I4="Complete",ISBLANK(I4)),"----",I4-$D4)</f>
        <v>----</v>
      </c>
    </row>
    <row r="5" spans="1:10">
      <c r="A5" s="88">
        <v>44180</v>
      </c>
      <c r="B5" s="101" t="s">
        <v>362</v>
      </c>
      <c r="C5" s="82">
        <v>569656.53</v>
      </c>
      <c r="D5" s="431">
        <f>C5</f>
        <v>569656.53</v>
      </c>
      <c r="E5" s="471">
        <v>565439.42000000004</v>
      </c>
      <c r="F5" s="472">
        <f t="shared" ref="F5:F17" si="2">IF(ISBLANK(E5),"----",E5-$D5)</f>
        <v>-4217.109999999986</v>
      </c>
      <c r="G5" s="471" t="s">
        <v>703</v>
      </c>
      <c r="H5" s="472" t="str">
        <f t="shared" si="0"/>
        <v>----</v>
      </c>
      <c r="I5" s="484" t="s">
        <v>703</v>
      </c>
      <c r="J5" s="83" t="str">
        <f t="shared" si="1"/>
        <v>----</v>
      </c>
    </row>
    <row r="6" spans="1:10">
      <c r="A6" s="91">
        <v>45552</v>
      </c>
      <c r="B6" s="411" t="s">
        <v>775</v>
      </c>
      <c r="C6" s="375">
        <v>424348.5</v>
      </c>
      <c r="D6" s="586">
        <f>C6</f>
        <v>424348.5</v>
      </c>
      <c r="E6" s="482"/>
      <c r="F6" s="483" t="str">
        <f t="shared" si="2"/>
        <v>----</v>
      </c>
      <c r="G6" s="482"/>
      <c r="H6" s="483" t="str">
        <f t="shared" si="0"/>
        <v>----</v>
      </c>
      <c r="I6" s="480"/>
      <c r="J6" s="85" t="str">
        <f t="shared" si="1"/>
        <v>----</v>
      </c>
    </row>
    <row r="7" spans="1:10">
      <c r="A7" s="88" t="s">
        <v>819</v>
      </c>
      <c r="B7" s="697" t="s">
        <v>818</v>
      </c>
      <c r="C7" s="374">
        <v>102951</v>
      </c>
      <c r="D7" s="560">
        <f>C7</f>
        <v>102951</v>
      </c>
      <c r="E7" s="471"/>
      <c r="F7" s="472" t="str">
        <f t="shared" si="2"/>
        <v>----</v>
      </c>
      <c r="G7" s="471"/>
      <c r="H7" s="472" t="str">
        <f t="shared" si="0"/>
        <v>----</v>
      </c>
      <c r="I7" s="484"/>
      <c r="J7" s="83" t="str">
        <f t="shared" si="1"/>
        <v>----</v>
      </c>
    </row>
    <row r="8" spans="1:10">
      <c r="A8" s="91"/>
      <c r="B8" s="92"/>
      <c r="C8" s="84"/>
      <c r="D8" s="477"/>
      <c r="E8" s="482"/>
      <c r="F8" s="483" t="str">
        <f t="shared" si="2"/>
        <v>----</v>
      </c>
      <c r="G8" s="482"/>
      <c r="H8" s="483" t="str">
        <f t="shared" si="0"/>
        <v>----</v>
      </c>
      <c r="I8" s="480"/>
      <c r="J8" s="85" t="str">
        <f t="shared" si="1"/>
        <v>----</v>
      </c>
    </row>
    <row r="9" spans="1:10">
      <c r="A9" s="88"/>
      <c r="B9" s="101"/>
      <c r="C9" s="82"/>
      <c r="D9" s="431"/>
      <c r="E9" s="471"/>
      <c r="F9" s="472" t="str">
        <f t="shared" si="2"/>
        <v>----</v>
      </c>
      <c r="G9" s="471"/>
      <c r="H9" s="472" t="str">
        <f t="shared" si="0"/>
        <v>----</v>
      </c>
      <c r="I9" s="484"/>
      <c r="J9" s="83" t="str">
        <f t="shared" si="1"/>
        <v>----</v>
      </c>
    </row>
    <row r="10" spans="1:10">
      <c r="A10" s="91"/>
      <c r="B10" s="92"/>
      <c r="C10" s="84"/>
      <c r="D10" s="477"/>
      <c r="E10" s="482"/>
      <c r="F10" s="483" t="str">
        <f t="shared" si="2"/>
        <v>----</v>
      </c>
      <c r="G10" s="482"/>
      <c r="H10" s="483" t="str">
        <f t="shared" si="0"/>
        <v>----</v>
      </c>
      <c r="I10" s="480"/>
      <c r="J10" s="85" t="str">
        <f t="shared" si="1"/>
        <v>----</v>
      </c>
    </row>
    <row r="11" spans="1:10">
      <c r="A11" s="88"/>
      <c r="B11" s="101"/>
      <c r="C11" s="82"/>
      <c r="D11" s="431"/>
      <c r="E11" s="471"/>
      <c r="F11" s="472" t="str">
        <f t="shared" si="2"/>
        <v>----</v>
      </c>
      <c r="G11" s="471"/>
      <c r="H11" s="472" t="str">
        <f t="shared" si="0"/>
        <v>----</v>
      </c>
      <c r="I11" s="484"/>
      <c r="J11" s="83" t="str">
        <f t="shared" si="1"/>
        <v>----</v>
      </c>
    </row>
    <row r="12" spans="1:10">
      <c r="A12" s="91"/>
      <c r="B12" s="92"/>
      <c r="C12" s="84"/>
      <c r="D12" s="477"/>
      <c r="E12" s="482"/>
      <c r="F12" s="483" t="str">
        <f t="shared" si="2"/>
        <v>----</v>
      </c>
      <c r="G12" s="482"/>
      <c r="H12" s="483" t="str">
        <f t="shared" si="0"/>
        <v>----</v>
      </c>
      <c r="I12" s="480"/>
      <c r="J12" s="85" t="str">
        <f t="shared" si="1"/>
        <v>----</v>
      </c>
    </row>
    <row r="13" spans="1:10">
      <c r="A13" s="88"/>
      <c r="B13" s="101"/>
      <c r="C13" s="82"/>
      <c r="D13" s="431"/>
      <c r="E13" s="471"/>
      <c r="F13" s="472" t="str">
        <f t="shared" si="2"/>
        <v>----</v>
      </c>
      <c r="G13" s="471"/>
      <c r="H13" s="472" t="str">
        <f t="shared" si="0"/>
        <v>----</v>
      </c>
      <c r="I13" s="484"/>
      <c r="J13" s="83" t="str">
        <f t="shared" si="1"/>
        <v>----</v>
      </c>
    </row>
    <row r="14" spans="1:10">
      <c r="A14" s="91"/>
      <c r="B14" s="92"/>
      <c r="C14" s="84"/>
      <c r="D14" s="477"/>
      <c r="E14" s="482"/>
      <c r="F14" s="483" t="str">
        <f t="shared" si="2"/>
        <v>----</v>
      </c>
      <c r="G14" s="482"/>
      <c r="H14" s="483" t="str">
        <f t="shared" si="0"/>
        <v>----</v>
      </c>
      <c r="I14" s="480"/>
      <c r="J14" s="85" t="str">
        <f t="shared" si="1"/>
        <v>----</v>
      </c>
    </row>
    <row r="15" spans="1:10">
      <c r="A15" s="88"/>
      <c r="B15" s="101"/>
      <c r="C15" s="82"/>
      <c r="D15" s="431"/>
      <c r="E15" s="471"/>
      <c r="F15" s="472" t="str">
        <f t="shared" si="2"/>
        <v>----</v>
      </c>
      <c r="G15" s="471"/>
      <c r="H15" s="472" t="str">
        <f t="shared" si="0"/>
        <v>----</v>
      </c>
      <c r="I15" s="484"/>
      <c r="J15" s="83" t="str">
        <f t="shared" si="1"/>
        <v>----</v>
      </c>
    </row>
    <row r="16" spans="1:10">
      <c r="A16" s="91"/>
      <c r="B16" s="92"/>
      <c r="C16" s="84"/>
      <c r="D16" s="477"/>
      <c r="E16" s="482"/>
      <c r="F16" s="483" t="str">
        <f t="shared" si="2"/>
        <v>----</v>
      </c>
      <c r="G16" s="482"/>
      <c r="H16" s="483" t="str">
        <f t="shared" si="0"/>
        <v>----</v>
      </c>
      <c r="I16" s="480"/>
      <c r="J16" s="85" t="str">
        <f t="shared" si="1"/>
        <v>----</v>
      </c>
    </row>
    <row r="17" spans="1:10" ht="15.75" thickBot="1">
      <c r="A17" s="74"/>
      <c r="B17" s="75"/>
      <c r="C17" s="76"/>
      <c r="D17" s="430"/>
      <c r="E17" s="475"/>
      <c r="F17" s="476" t="str">
        <f t="shared" si="2"/>
        <v>----</v>
      </c>
      <c r="G17" s="475"/>
      <c r="H17" s="476" t="str">
        <f t="shared" si="0"/>
        <v>----</v>
      </c>
      <c r="I17" s="481"/>
      <c r="J17" s="77" t="str">
        <f t="shared" si="1"/>
        <v>----</v>
      </c>
    </row>
    <row r="18" spans="1:10" ht="15.75" thickBot="1">
      <c r="A18" s="27"/>
      <c r="B18" s="27"/>
      <c r="C18" s="28"/>
      <c r="D18" s="28"/>
      <c r="E18" s="439"/>
      <c r="F18" s="441">
        <f>SUM(F4:F17)</f>
        <v>-12522.329999999958</v>
      </c>
      <c r="G18" s="439"/>
      <c r="H18" s="441">
        <f>SUM(H4:H17)</f>
        <v>0</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7F44-29B0-4E42-AFE1-A9DBF5786BA3}">
  <dimension ref="A1:J22"/>
  <sheetViews>
    <sheetView workbookViewId="0">
      <selection activeCell="D9" sqref="D9"/>
    </sheetView>
  </sheetViews>
  <sheetFormatPr defaultRowHeight="15"/>
  <cols>
    <col min="2" max="2" width="22" bestFit="1" customWidth="1"/>
    <col min="3" max="3" width="12" bestFit="1" customWidth="1"/>
    <col min="4" max="4" width="13.7109375" customWidth="1"/>
    <col min="5" max="5" width="10.7109375" style="432" bestFit="1" customWidth="1"/>
    <col min="6" max="6" width="12.85546875" style="432" customWidth="1"/>
    <col min="7" max="7" width="12" style="432" bestFit="1" customWidth="1"/>
    <col min="8" max="8" width="12.85546875" style="432" customWidth="1"/>
    <col min="9" max="9" width="10.7109375" bestFit="1" customWidth="1"/>
    <col min="10" max="10" width="12.85546875" customWidth="1"/>
  </cols>
  <sheetData>
    <row r="1" spans="1:10" ht="15.75" thickBot="1">
      <c r="A1" s="952" t="s">
        <v>153</v>
      </c>
      <c r="B1" s="953"/>
      <c r="C1" s="953"/>
      <c r="D1" s="953"/>
      <c r="E1" s="953"/>
      <c r="F1" s="953"/>
      <c r="G1" s="953"/>
      <c r="H1" s="953"/>
      <c r="I1" s="953"/>
      <c r="J1" s="954"/>
    </row>
    <row r="2" spans="1:10" s="432" customFormat="1">
      <c r="A2" s="959" t="s">
        <v>110</v>
      </c>
      <c r="B2" s="961" t="s">
        <v>111</v>
      </c>
      <c r="C2" s="961" t="s">
        <v>112</v>
      </c>
      <c r="D2" s="963" t="s">
        <v>247</v>
      </c>
      <c r="E2" s="957" t="s">
        <v>701</v>
      </c>
      <c r="F2" s="958"/>
      <c r="G2" s="957" t="s">
        <v>702</v>
      </c>
      <c r="H2" s="958"/>
      <c r="I2" s="932" t="s">
        <v>796</v>
      </c>
      <c r="J2" s="933"/>
    </row>
    <row r="3" spans="1:10" ht="46.5" thickBot="1">
      <c r="A3" s="960"/>
      <c r="B3" s="962"/>
      <c r="C3" s="962"/>
      <c r="D3" s="964"/>
      <c r="E3" s="460" t="s">
        <v>121</v>
      </c>
      <c r="F3" s="468" t="s">
        <v>704</v>
      </c>
      <c r="G3" s="460" t="s">
        <v>121</v>
      </c>
      <c r="H3" s="468" t="s">
        <v>704</v>
      </c>
      <c r="I3" s="478" t="s">
        <v>121</v>
      </c>
      <c r="J3" s="25" t="s">
        <v>704</v>
      </c>
    </row>
    <row r="4" spans="1:10">
      <c r="A4" s="70">
        <v>43816</v>
      </c>
      <c r="B4" s="71" t="s">
        <v>168</v>
      </c>
      <c r="C4" s="72">
        <v>663331.87</v>
      </c>
      <c r="D4" s="429">
        <f>C4</f>
        <v>663331.87</v>
      </c>
      <c r="E4" s="469">
        <v>651120.44999999995</v>
      </c>
      <c r="F4" s="470">
        <f>IF(ISBLANK(E4),"----",E4-$D4)</f>
        <v>-12211.420000000042</v>
      </c>
      <c r="G4" s="469" t="s">
        <v>703</v>
      </c>
      <c r="H4" s="470" t="str">
        <f t="shared" ref="H4:H21" si="0">IF(OR(G4="Complete",ISBLANK(G4)),"----",G4-$D4)</f>
        <v>----</v>
      </c>
      <c r="I4" s="479" t="s">
        <v>703</v>
      </c>
      <c r="J4" s="73" t="str">
        <f t="shared" ref="J4:J21" si="1">IF(OR(I4="Complete",ISBLANK(I4)),"----",I4-$D4)</f>
        <v>----</v>
      </c>
    </row>
    <row r="5" spans="1:10">
      <c r="A5" s="91">
        <v>43816</v>
      </c>
      <c r="B5" s="92" t="s">
        <v>169</v>
      </c>
      <c r="C5" s="84">
        <v>700659.04</v>
      </c>
      <c r="D5" s="477">
        <f>C5</f>
        <v>700659.04</v>
      </c>
      <c r="E5" s="482">
        <v>681332.98999999987</v>
      </c>
      <c r="F5" s="483">
        <f t="shared" ref="F5:F21" si="2">IF(ISBLANK(E5),"----",E5-$D5)</f>
        <v>-19326.050000000163</v>
      </c>
      <c r="G5" s="482" t="s">
        <v>703</v>
      </c>
      <c r="H5" s="483" t="str">
        <f t="shared" si="0"/>
        <v>----</v>
      </c>
      <c r="I5" s="480" t="s">
        <v>703</v>
      </c>
      <c r="J5" s="85" t="str">
        <f t="shared" si="1"/>
        <v>----</v>
      </c>
    </row>
    <row r="6" spans="1:10">
      <c r="A6" s="102">
        <v>44698</v>
      </c>
      <c r="B6" s="103" t="s">
        <v>520</v>
      </c>
      <c r="C6" s="87">
        <v>1060952.3700000001</v>
      </c>
      <c r="D6" s="466">
        <f>C6</f>
        <v>1060952.3700000001</v>
      </c>
      <c r="E6" s="473"/>
      <c r="F6" s="485" t="str">
        <f t="shared" si="2"/>
        <v>----</v>
      </c>
      <c r="G6" s="473">
        <v>1054336.72</v>
      </c>
      <c r="H6" s="485">
        <f t="shared" si="0"/>
        <v>-6615.6500000001397</v>
      </c>
      <c r="I6" s="785" t="s">
        <v>703</v>
      </c>
      <c r="J6" s="115" t="str">
        <f t="shared" si="1"/>
        <v>----</v>
      </c>
    </row>
    <row r="7" spans="1:10">
      <c r="A7" s="102">
        <v>45679</v>
      </c>
      <c r="B7" s="721" t="s">
        <v>820</v>
      </c>
      <c r="C7" s="593">
        <v>1148728.3500000001</v>
      </c>
      <c r="D7" s="594">
        <f>C7</f>
        <v>1148728.3500000001</v>
      </c>
      <c r="E7" s="473"/>
      <c r="F7" s="485" t="str">
        <f t="shared" si="2"/>
        <v>----</v>
      </c>
      <c r="G7" s="473"/>
      <c r="H7" s="485" t="str">
        <f t="shared" si="0"/>
        <v>----</v>
      </c>
      <c r="I7" s="486"/>
      <c r="J7" s="115" t="str">
        <f t="shared" si="1"/>
        <v>----</v>
      </c>
    </row>
    <row r="8" spans="1:10">
      <c r="A8" s="102">
        <v>45679</v>
      </c>
      <c r="B8" s="721" t="s">
        <v>821</v>
      </c>
      <c r="C8" s="593">
        <v>1106107.6000000001</v>
      </c>
      <c r="D8" s="594">
        <f>C8</f>
        <v>1106107.6000000001</v>
      </c>
      <c r="E8" s="473"/>
      <c r="F8" s="485" t="str">
        <f t="shared" si="2"/>
        <v>----</v>
      </c>
      <c r="G8" s="473"/>
      <c r="H8" s="485" t="str">
        <f t="shared" si="0"/>
        <v>----</v>
      </c>
      <c r="I8" s="486"/>
      <c r="J8" s="115" t="str">
        <f t="shared" si="1"/>
        <v>----</v>
      </c>
    </row>
    <row r="9" spans="1:10">
      <c r="A9" s="102"/>
      <c r="B9" s="103"/>
      <c r="C9" s="87"/>
      <c r="D9" s="466"/>
      <c r="E9" s="473"/>
      <c r="F9" s="485" t="str">
        <f t="shared" si="2"/>
        <v>----</v>
      </c>
      <c r="G9" s="473"/>
      <c r="H9" s="485" t="str">
        <f t="shared" si="0"/>
        <v>----</v>
      </c>
      <c r="I9" s="486"/>
      <c r="J9" s="115" t="str">
        <f t="shared" si="1"/>
        <v>----</v>
      </c>
    </row>
    <row r="10" spans="1:10">
      <c r="A10" s="102"/>
      <c r="B10" s="103"/>
      <c r="C10" s="87"/>
      <c r="D10" s="466"/>
      <c r="E10" s="473"/>
      <c r="F10" s="485" t="str">
        <f t="shared" si="2"/>
        <v>----</v>
      </c>
      <c r="G10" s="473"/>
      <c r="H10" s="485" t="str">
        <f t="shared" si="0"/>
        <v>----</v>
      </c>
      <c r="I10" s="486"/>
      <c r="J10" s="115" t="str">
        <f t="shared" si="1"/>
        <v>----</v>
      </c>
    </row>
    <row r="11" spans="1:10">
      <c r="A11" s="102"/>
      <c r="B11" s="103"/>
      <c r="C11" s="87"/>
      <c r="D11" s="466"/>
      <c r="E11" s="473"/>
      <c r="F11" s="485" t="str">
        <f t="shared" si="2"/>
        <v>----</v>
      </c>
      <c r="G11" s="473"/>
      <c r="H11" s="485" t="str">
        <f t="shared" si="0"/>
        <v>----</v>
      </c>
      <c r="I11" s="486"/>
      <c r="J11" s="115" t="str">
        <f t="shared" si="1"/>
        <v>----</v>
      </c>
    </row>
    <row r="12" spans="1:10">
      <c r="A12" s="102"/>
      <c r="B12" s="103"/>
      <c r="C12" s="87"/>
      <c r="D12" s="466"/>
      <c r="E12" s="473"/>
      <c r="F12" s="485" t="str">
        <f t="shared" si="2"/>
        <v>----</v>
      </c>
      <c r="G12" s="473"/>
      <c r="H12" s="485" t="str">
        <f t="shared" si="0"/>
        <v>----</v>
      </c>
      <c r="I12" s="486"/>
      <c r="J12" s="115" t="str">
        <f t="shared" si="1"/>
        <v>----</v>
      </c>
    </row>
    <row r="13" spans="1:10">
      <c r="A13" s="102"/>
      <c r="B13" s="103"/>
      <c r="C13" s="87"/>
      <c r="D13" s="466"/>
      <c r="E13" s="473"/>
      <c r="F13" s="485" t="str">
        <f t="shared" si="2"/>
        <v>----</v>
      </c>
      <c r="G13" s="473"/>
      <c r="H13" s="485" t="str">
        <f t="shared" si="0"/>
        <v>----</v>
      </c>
      <c r="I13" s="486"/>
      <c r="J13" s="115" t="str">
        <f t="shared" si="1"/>
        <v>----</v>
      </c>
    </row>
    <row r="14" spans="1:10">
      <c r="A14" s="102"/>
      <c r="B14" s="103"/>
      <c r="C14" s="87"/>
      <c r="D14" s="466"/>
      <c r="E14" s="473"/>
      <c r="F14" s="485" t="str">
        <f t="shared" si="2"/>
        <v>----</v>
      </c>
      <c r="G14" s="473"/>
      <c r="H14" s="485" t="str">
        <f t="shared" si="0"/>
        <v>----</v>
      </c>
      <c r="I14" s="486"/>
      <c r="J14" s="115" t="str">
        <f t="shared" si="1"/>
        <v>----</v>
      </c>
    </row>
    <row r="15" spans="1:10">
      <c r="A15" s="102"/>
      <c r="B15" s="103"/>
      <c r="C15" s="87"/>
      <c r="D15" s="466"/>
      <c r="E15" s="473"/>
      <c r="F15" s="485" t="str">
        <f t="shared" si="2"/>
        <v>----</v>
      </c>
      <c r="G15" s="473"/>
      <c r="H15" s="485" t="str">
        <f t="shared" si="0"/>
        <v>----</v>
      </c>
      <c r="I15" s="486"/>
      <c r="J15" s="115" t="str">
        <f t="shared" si="1"/>
        <v>----</v>
      </c>
    </row>
    <row r="16" spans="1:10">
      <c r="A16" s="102"/>
      <c r="B16" s="103"/>
      <c r="C16" s="87"/>
      <c r="D16" s="466"/>
      <c r="E16" s="473"/>
      <c r="F16" s="485" t="str">
        <f t="shared" si="2"/>
        <v>----</v>
      </c>
      <c r="G16" s="473"/>
      <c r="H16" s="485" t="str">
        <f t="shared" si="0"/>
        <v>----</v>
      </c>
      <c r="I16" s="486"/>
      <c r="J16" s="115" t="str">
        <f t="shared" si="1"/>
        <v>----</v>
      </c>
    </row>
    <row r="17" spans="1:10">
      <c r="A17" s="102"/>
      <c r="B17" s="103"/>
      <c r="C17" s="87"/>
      <c r="D17" s="466"/>
      <c r="E17" s="473"/>
      <c r="F17" s="485" t="str">
        <f t="shared" si="2"/>
        <v>----</v>
      </c>
      <c r="G17" s="473"/>
      <c r="H17" s="485" t="str">
        <f t="shared" si="0"/>
        <v>----</v>
      </c>
      <c r="I17" s="486"/>
      <c r="J17" s="115" t="str">
        <f t="shared" si="1"/>
        <v>----</v>
      </c>
    </row>
    <row r="18" spans="1:10">
      <c r="A18" s="102"/>
      <c r="B18" s="103"/>
      <c r="C18" s="87"/>
      <c r="D18" s="466"/>
      <c r="E18" s="473"/>
      <c r="F18" s="485" t="str">
        <f t="shared" si="2"/>
        <v>----</v>
      </c>
      <c r="G18" s="473"/>
      <c r="H18" s="485" t="str">
        <f t="shared" si="0"/>
        <v>----</v>
      </c>
      <c r="I18" s="486"/>
      <c r="J18" s="115" t="str">
        <f t="shared" si="1"/>
        <v>----</v>
      </c>
    </row>
    <row r="19" spans="1:10">
      <c r="A19" s="102"/>
      <c r="B19" s="103"/>
      <c r="C19" s="87"/>
      <c r="D19" s="466"/>
      <c r="E19" s="473"/>
      <c r="F19" s="485" t="str">
        <f t="shared" si="2"/>
        <v>----</v>
      </c>
      <c r="G19" s="473"/>
      <c r="H19" s="485" t="str">
        <f t="shared" si="0"/>
        <v>----</v>
      </c>
      <c r="I19" s="486"/>
      <c r="J19" s="115" t="str">
        <f t="shared" si="1"/>
        <v>----</v>
      </c>
    </row>
    <row r="20" spans="1:10">
      <c r="A20" s="116"/>
      <c r="B20" s="117"/>
      <c r="C20" s="118"/>
      <c r="D20" s="467"/>
      <c r="E20" s="474"/>
      <c r="F20" s="487" t="str">
        <f t="shared" si="2"/>
        <v>----</v>
      </c>
      <c r="G20" s="474"/>
      <c r="H20" s="487" t="str">
        <f t="shared" si="0"/>
        <v>----</v>
      </c>
      <c r="I20" s="488"/>
      <c r="J20" s="119" t="str">
        <f t="shared" si="1"/>
        <v>----</v>
      </c>
    </row>
    <row r="21" spans="1:10" ht="15.75" thickBot="1">
      <c r="A21" s="74"/>
      <c r="B21" s="75"/>
      <c r="C21" s="76"/>
      <c r="D21" s="430"/>
      <c r="E21" s="475"/>
      <c r="F21" s="476" t="str">
        <f t="shared" si="2"/>
        <v>----</v>
      </c>
      <c r="G21" s="475"/>
      <c r="H21" s="476" t="str">
        <f t="shared" si="0"/>
        <v>----</v>
      </c>
      <c r="I21" s="481"/>
      <c r="J21" s="77" t="str">
        <f t="shared" si="1"/>
        <v>----</v>
      </c>
    </row>
    <row r="22" spans="1:10" ht="15.75" thickBot="1">
      <c r="A22" s="27"/>
      <c r="B22" s="27"/>
      <c r="C22" s="28"/>
      <c r="D22" s="28"/>
      <c r="E22" s="439"/>
      <c r="F22" s="441">
        <f>SUM(F4:F21)</f>
        <v>-31537.470000000205</v>
      </c>
      <c r="G22" s="439"/>
      <c r="H22" s="441">
        <f>SUM(H4:H21)</f>
        <v>-6615.6500000001397</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5FD6-1A84-4CDF-B270-653CD22B15E6}">
  <dimension ref="A1:K21"/>
  <sheetViews>
    <sheetView workbookViewId="0">
      <selection activeCell="K5" sqref="K5"/>
    </sheetView>
  </sheetViews>
  <sheetFormatPr defaultRowHeight="15"/>
  <cols>
    <col min="2" max="2" width="22.5703125" bestFit="1" customWidth="1"/>
    <col min="3" max="3" width="12.7109375" customWidth="1"/>
    <col min="4" max="4" width="13" customWidth="1"/>
    <col min="5" max="8" width="9.140625" style="432"/>
  </cols>
  <sheetData>
    <row r="1" spans="1:11" ht="15.75" thickBot="1">
      <c r="A1" s="952" t="s">
        <v>257</v>
      </c>
      <c r="B1" s="953"/>
      <c r="C1" s="953"/>
      <c r="D1" s="953"/>
      <c r="E1" s="953"/>
      <c r="F1" s="953"/>
      <c r="G1" s="953"/>
      <c r="H1" s="953"/>
      <c r="I1" s="953"/>
      <c r="J1" s="954"/>
    </row>
    <row r="2" spans="1:11" s="432" customFormat="1">
      <c r="A2" s="959" t="s">
        <v>110</v>
      </c>
      <c r="B2" s="961" t="s">
        <v>111</v>
      </c>
      <c r="C2" s="961" t="s">
        <v>112</v>
      </c>
      <c r="D2" s="963" t="s">
        <v>247</v>
      </c>
      <c r="E2" s="957" t="s">
        <v>701</v>
      </c>
      <c r="F2" s="958"/>
      <c r="G2" s="957" t="s">
        <v>702</v>
      </c>
      <c r="H2" s="958"/>
      <c r="I2" s="932" t="s">
        <v>796</v>
      </c>
      <c r="J2" s="933"/>
    </row>
    <row r="3" spans="1:11" ht="69" thickBot="1">
      <c r="A3" s="960"/>
      <c r="B3" s="962"/>
      <c r="C3" s="962"/>
      <c r="D3" s="964"/>
      <c r="E3" s="460" t="s">
        <v>121</v>
      </c>
      <c r="F3" s="468" t="s">
        <v>704</v>
      </c>
      <c r="G3" s="460" t="s">
        <v>121</v>
      </c>
      <c r="H3" s="468" t="s">
        <v>704</v>
      </c>
      <c r="I3" s="478" t="s">
        <v>121</v>
      </c>
      <c r="J3" s="25" t="s">
        <v>704</v>
      </c>
    </row>
    <row r="4" spans="1:11">
      <c r="A4" s="70">
        <v>44124</v>
      </c>
      <c r="B4" s="71" t="s">
        <v>311</v>
      </c>
      <c r="C4" s="781">
        <v>1643438.76</v>
      </c>
      <c r="D4" s="787">
        <v>1261098.76</v>
      </c>
      <c r="E4" s="794"/>
      <c r="F4" s="803" t="str">
        <f>IF(ISBLANK(E4),"----",E4-$D4)</f>
        <v>----</v>
      </c>
      <c r="G4" s="794"/>
      <c r="H4" s="803" t="str">
        <f t="shared" ref="H4:H20" si="0">IF(OR(G4="Complete",ISBLANK(G4)),"----",G4-$D4)</f>
        <v>----</v>
      </c>
      <c r="I4" s="791"/>
      <c r="J4" s="804" t="str">
        <f t="shared" ref="J4:J20" si="1">IF(OR(I4="Complete",ISBLANK(I4)),"----",I4-$D4)</f>
        <v>----</v>
      </c>
    </row>
    <row r="5" spans="1:11">
      <c r="A5" s="204">
        <v>44243</v>
      </c>
      <c r="B5" s="101" t="s">
        <v>395</v>
      </c>
      <c r="C5" s="854">
        <v>850881.65</v>
      </c>
      <c r="D5" s="855">
        <v>0</v>
      </c>
      <c r="E5" s="848"/>
      <c r="F5" s="856" t="str">
        <f t="shared" ref="F5:F20" si="2">IF(ISBLANK(E5),"----",E5-$D5)</f>
        <v>----</v>
      </c>
      <c r="G5" s="848"/>
      <c r="H5" s="856" t="str">
        <f t="shared" si="0"/>
        <v>----</v>
      </c>
      <c r="I5" s="849"/>
      <c r="J5" s="857" t="str">
        <f t="shared" si="1"/>
        <v>----</v>
      </c>
      <c r="K5" s="218" t="s">
        <v>511</v>
      </c>
    </row>
    <row r="6" spans="1:11">
      <c r="A6" s="970">
        <v>45797</v>
      </c>
      <c r="B6" s="721" t="s">
        <v>871</v>
      </c>
      <c r="C6" s="770">
        <v>343450</v>
      </c>
      <c r="D6" s="729">
        <f>C6</f>
        <v>343450</v>
      </c>
      <c r="E6" s="739"/>
      <c r="F6" s="807" t="str">
        <f t="shared" si="2"/>
        <v>----</v>
      </c>
      <c r="G6" s="739"/>
      <c r="H6" s="807" t="str">
        <f t="shared" si="0"/>
        <v>----</v>
      </c>
      <c r="I6" s="734"/>
      <c r="J6" s="808" t="str">
        <f t="shared" si="1"/>
        <v>----</v>
      </c>
    </row>
    <row r="7" spans="1:11">
      <c r="A7" s="972"/>
      <c r="B7" s="721" t="s">
        <v>872</v>
      </c>
      <c r="C7" s="770">
        <v>273696.63</v>
      </c>
      <c r="D7" s="729">
        <f>C7</f>
        <v>273696.63</v>
      </c>
      <c r="E7" s="739"/>
      <c r="F7" s="807" t="str">
        <f t="shared" si="2"/>
        <v>----</v>
      </c>
      <c r="G7" s="739"/>
      <c r="H7" s="807" t="str">
        <f t="shared" si="0"/>
        <v>----</v>
      </c>
      <c r="I7" s="734"/>
      <c r="J7" s="808" t="str">
        <f t="shared" si="1"/>
        <v>----</v>
      </c>
    </row>
    <row r="8" spans="1:11">
      <c r="A8" s="102"/>
      <c r="B8" s="103"/>
      <c r="C8" s="770"/>
      <c r="D8" s="729"/>
      <c r="E8" s="739"/>
      <c r="F8" s="807" t="str">
        <f t="shared" si="2"/>
        <v>----</v>
      </c>
      <c r="G8" s="739"/>
      <c r="H8" s="807" t="str">
        <f t="shared" si="0"/>
        <v>----</v>
      </c>
      <c r="I8" s="734"/>
      <c r="J8" s="808" t="str">
        <f t="shared" si="1"/>
        <v>----</v>
      </c>
    </row>
    <row r="9" spans="1:11">
      <c r="A9" s="102"/>
      <c r="B9" s="103"/>
      <c r="C9" s="770"/>
      <c r="D9" s="729"/>
      <c r="E9" s="739"/>
      <c r="F9" s="807" t="str">
        <f t="shared" si="2"/>
        <v>----</v>
      </c>
      <c r="G9" s="739"/>
      <c r="H9" s="807" t="str">
        <f t="shared" si="0"/>
        <v>----</v>
      </c>
      <c r="I9" s="734"/>
      <c r="J9" s="808" t="str">
        <f t="shared" si="1"/>
        <v>----</v>
      </c>
    </row>
    <row r="10" spans="1:11">
      <c r="A10" s="102"/>
      <c r="B10" s="103"/>
      <c r="C10" s="770"/>
      <c r="D10" s="729"/>
      <c r="E10" s="739"/>
      <c r="F10" s="807" t="str">
        <f t="shared" si="2"/>
        <v>----</v>
      </c>
      <c r="G10" s="739"/>
      <c r="H10" s="807" t="str">
        <f t="shared" si="0"/>
        <v>----</v>
      </c>
      <c r="I10" s="734"/>
      <c r="J10" s="808" t="str">
        <f t="shared" si="1"/>
        <v>----</v>
      </c>
    </row>
    <row r="11" spans="1:11">
      <c r="A11" s="102"/>
      <c r="B11" s="103"/>
      <c r="C11" s="770"/>
      <c r="D11" s="729"/>
      <c r="E11" s="739"/>
      <c r="F11" s="807" t="str">
        <f t="shared" si="2"/>
        <v>----</v>
      </c>
      <c r="G11" s="739"/>
      <c r="H11" s="807" t="str">
        <f t="shared" si="0"/>
        <v>----</v>
      </c>
      <c r="I11" s="734"/>
      <c r="J11" s="808" t="str">
        <f t="shared" si="1"/>
        <v>----</v>
      </c>
    </row>
    <row r="12" spans="1:11">
      <c r="A12" s="102"/>
      <c r="B12" s="103"/>
      <c r="C12" s="770"/>
      <c r="D12" s="729"/>
      <c r="E12" s="739"/>
      <c r="F12" s="807" t="str">
        <f t="shared" si="2"/>
        <v>----</v>
      </c>
      <c r="G12" s="739"/>
      <c r="H12" s="807" t="str">
        <f t="shared" si="0"/>
        <v>----</v>
      </c>
      <c r="I12" s="734"/>
      <c r="J12" s="808" t="str">
        <f t="shared" si="1"/>
        <v>----</v>
      </c>
    </row>
    <row r="13" spans="1:11">
      <c r="A13" s="102"/>
      <c r="B13" s="103"/>
      <c r="C13" s="770"/>
      <c r="D13" s="729"/>
      <c r="E13" s="739"/>
      <c r="F13" s="807" t="str">
        <f t="shared" si="2"/>
        <v>----</v>
      </c>
      <c r="G13" s="739"/>
      <c r="H13" s="807" t="str">
        <f t="shared" si="0"/>
        <v>----</v>
      </c>
      <c r="I13" s="734"/>
      <c r="J13" s="808" t="str">
        <f t="shared" si="1"/>
        <v>----</v>
      </c>
    </row>
    <row r="14" spans="1:11">
      <c r="A14" s="102"/>
      <c r="B14" s="103"/>
      <c r="C14" s="770"/>
      <c r="D14" s="729"/>
      <c r="E14" s="739"/>
      <c r="F14" s="807" t="str">
        <f t="shared" si="2"/>
        <v>----</v>
      </c>
      <c r="G14" s="739"/>
      <c r="H14" s="807" t="str">
        <f t="shared" si="0"/>
        <v>----</v>
      </c>
      <c r="I14" s="734"/>
      <c r="J14" s="808" t="str">
        <f t="shared" si="1"/>
        <v>----</v>
      </c>
    </row>
    <row r="15" spans="1:11">
      <c r="A15" s="102"/>
      <c r="B15" s="103"/>
      <c r="C15" s="770"/>
      <c r="D15" s="729"/>
      <c r="E15" s="739"/>
      <c r="F15" s="807" t="str">
        <f t="shared" si="2"/>
        <v>----</v>
      </c>
      <c r="G15" s="739"/>
      <c r="H15" s="807" t="str">
        <f t="shared" si="0"/>
        <v>----</v>
      </c>
      <c r="I15" s="734"/>
      <c r="J15" s="808" t="str">
        <f t="shared" si="1"/>
        <v>----</v>
      </c>
    </row>
    <row r="16" spans="1:11">
      <c r="A16" s="102"/>
      <c r="B16" s="103"/>
      <c r="C16" s="770"/>
      <c r="D16" s="729"/>
      <c r="E16" s="739"/>
      <c r="F16" s="807" t="str">
        <f t="shared" si="2"/>
        <v>----</v>
      </c>
      <c r="G16" s="739"/>
      <c r="H16" s="807" t="str">
        <f t="shared" si="0"/>
        <v>----</v>
      </c>
      <c r="I16" s="734"/>
      <c r="J16" s="808" t="str">
        <f t="shared" si="1"/>
        <v>----</v>
      </c>
    </row>
    <row r="17" spans="1:10">
      <c r="A17" s="102"/>
      <c r="B17" s="103"/>
      <c r="C17" s="770"/>
      <c r="D17" s="729"/>
      <c r="E17" s="739"/>
      <c r="F17" s="807" t="str">
        <f t="shared" si="2"/>
        <v>----</v>
      </c>
      <c r="G17" s="739"/>
      <c r="H17" s="807" t="str">
        <f t="shared" si="0"/>
        <v>----</v>
      </c>
      <c r="I17" s="734"/>
      <c r="J17" s="808" t="str">
        <f t="shared" si="1"/>
        <v>----</v>
      </c>
    </row>
    <row r="18" spans="1:10">
      <c r="A18" s="102"/>
      <c r="B18" s="103"/>
      <c r="C18" s="770"/>
      <c r="D18" s="729"/>
      <c r="E18" s="739"/>
      <c r="F18" s="807" t="str">
        <f t="shared" si="2"/>
        <v>----</v>
      </c>
      <c r="G18" s="739"/>
      <c r="H18" s="807" t="str">
        <f t="shared" si="0"/>
        <v>----</v>
      </c>
      <c r="I18" s="734"/>
      <c r="J18" s="808" t="str">
        <f t="shared" si="1"/>
        <v>----</v>
      </c>
    </row>
    <row r="19" spans="1:10">
      <c r="A19" s="116"/>
      <c r="B19" s="117"/>
      <c r="C19" s="773"/>
      <c r="D19" s="789"/>
      <c r="E19" s="740"/>
      <c r="F19" s="774" t="str">
        <f t="shared" si="2"/>
        <v>----</v>
      </c>
      <c r="G19" s="740"/>
      <c r="H19" s="774" t="str">
        <f t="shared" si="0"/>
        <v>----</v>
      </c>
      <c r="I19" s="735"/>
      <c r="J19" s="775" t="str">
        <f t="shared" si="1"/>
        <v>----</v>
      </c>
    </row>
    <row r="20" spans="1:10" ht="15.75" thickBot="1">
      <c r="A20" s="74"/>
      <c r="B20" s="75"/>
      <c r="C20" s="783"/>
      <c r="D20" s="790"/>
      <c r="E20" s="796"/>
      <c r="F20" s="801" t="str">
        <f t="shared" si="2"/>
        <v>----</v>
      </c>
      <c r="G20" s="796"/>
      <c r="H20" s="801" t="str">
        <f t="shared" si="0"/>
        <v>----</v>
      </c>
      <c r="I20" s="793"/>
      <c r="J20" s="802" t="str">
        <f t="shared" si="1"/>
        <v>----</v>
      </c>
    </row>
    <row r="21" spans="1:10" ht="15.75" thickBot="1">
      <c r="A21" s="27"/>
      <c r="B21" s="27"/>
      <c r="C21" s="28"/>
      <c r="D21" s="28"/>
      <c r="E21" s="439"/>
      <c r="F21" s="441">
        <f>SUM(F4:F20)</f>
        <v>0</v>
      </c>
      <c r="G21" s="439"/>
      <c r="H21" s="441">
        <f>SUM(H4:H20)</f>
        <v>0</v>
      </c>
      <c r="I21" s="28"/>
      <c r="J21" s="69">
        <f>SUM(J4:J20)</f>
        <v>0</v>
      </c>
    </row>
  </sheetData>
  <mergeCells count="9">
    <mergeCell ref="A6:A7"/>
    <mergeCell ref="A1:J1"/>
    <mergeCell ref="E2:F2"/>
    <mergeCell ref="I2:J2"/>
    <mergeCell ref="A2:A3"/>
    <mergeCell ref="B2:B3"/>
    <mergeCell ref="C2:C3"/>
    <mergeCell ref="D2:D3"/>
    <mergeCell ref="G2:H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0A6C1-7491-44CB-AF6D-4B455B3A90BE}">
  <dimension ref="A1:J21"/>
  <sheetViews>
    <sheetView workbookViewId="0">
      <selection activeCell="G10" sqref="G10"/>
    </sheetView>
  </sheetViews>
  <sheetFormatPr defaultRowHeight="15"/>
  <cols>
    <col min="2" max="2" width="22.7109375" bestFit="1" customWidth="1"/>
    <col min="3" max="4" width="10.7109375" bestFit="1" customWidth="1"/>
    <col min="5" max="5" width="10.7109375" style="432" bestFit="1" customWidth="1"/>
    <col min="6" max="6" width="9.5703125" style="432" bestFit="1" customWidth="1"/>
    <col min="7" max="7" width="10.7109375" style="432" bestFit="1" customWidth="1"/>
    <col min="8" max="8" width="9.5703125" style="432" bestFit="1" customWidth="1"/>
    <col min="9" max="9" width="10.7109375" bestFit="1" customWidth="1"/>
    <col min="10" max="10" width="10.42578125" bestFit="1" customWidth="1"/>
  </cols>
  <sheetData>
    <row r="1" spans="1:10" ht="15.75" thickBot="1">
      <c r="A1" s="952" t="s">
        <v>258</v>
      </c>
      <c r="B1" s="953"/>
      <c r="C1" s="953"/>
      <c r="D1" s="953"/>
      <c r="E1" s="953"/>
      <c r="F1" s="953"/>
      <c r="G1" s="953"/>
      <c r="H1" s="953"/>
      <c r="I1" s="953"/>
      <c r="J1" s="954"/>
    </row>
    <row r="2" spans="1:10" s="432" customFormat="1">
      <c r="A2" s="959" t="s">
        <v>110</v>
      </c>
      <c r="B2" s="961" t="s">
        <v>111</v>
      </c>
      <c r="C2" s="961" t="s">
        <v>112</v>
      </c>
      <c r="D2" s="963" t="s">
        <v>120</v>
      </c>
      <c r="E2" s="957" t="s">
        <v>701</v>
      </c>
      <c r="F2" s="958"/>
      <c r="G2" s="957" t="s">
        <v>702</v>
      </c>
      <c r="H2" s="958"/>
      <c r="I2" s="932" t="s">
        <v>796</v>
      </c>
      <c r="J2" s="933"/>
    </row>
    <row r="3" spans="1:10" ht="57.75" thickBot="1">
      <c r="A3" s="960"/>
      <c r="B3" s="962"/>
      <c r="C3" s="962"/>
      <c r="D3" s="964"/>
      <c r="E3" s="460" t="s">
        <v>121</v>
      </c>
      <c r="F3" s="468" t="s">
        <v>704</v>
      </c>
      <c r="G3" s="460" t="s">
        <v>121</v>
      </c>
      <c r="H3" s="468" t="s">
        <v>704</v>
      </c>
      <c r="I3" s="478" t="s">
        <v>121</v>
      </c>
      <c r="J3" s="25" t="s">
        <v>704</v>
      </c>
    </row>
    <row r="4" spans="1:10">
      <c r="A4" s="70">
        <v>44180</v>
      </c>
      <c r="B4" s="71" t="s">
        <v>363</v>
      </c>
      <c r="C4" s="781">
        <v>814685.26</v>
      </c>
      <c r="D4" s="787">
        <f>C4</f>
        <v>814685.26</v>
      </c>
      <c r="E4" s="794">
        <v>813336.16</v>
      </c>
      <c r="F4" s="803">
        <f>IF(ISBLANK(E4),"----",E4-$D4)</f>
        <v>-1349.0999999999767</v>
      </c>
      <c r="G4" s="794" t="s">
        <v>703</v>
      </c>
      <c r="H4" s="803" t="str">
        <f t="shared" ref="H4:H20" si="0">IF(OR(G4="Complete",ISBLANK(G4)),"----",G4-$D4)</f>
        <v>----</v>
      </c>
      <c r="I4" s="791" t="s">
        <v>703</v>
      </c>
      <c r="J4" s="804" t="str">
        <f t="shared" ref="J4:J20" si="1">IF(OR(I4="Complete",ISBLANK(I4)),"----",I4-$D4)</f>
        <v>----</v>
      </c>
    </row>
    <row r="5" spans="1:10">
      <c r="A5" s="88">
        <v>45097</v>
      </c>
      <c r="B5" s="101" t="s">
        <v>649</v>
      </c>
      <c r="C5" s="784">
        <v>422511.5</v>
      </c>
      <c r="D5" s="788">
        <f>C5</f>
        <v>422511.5</v>
      </c>
      <c r="E5" s="795"/>
      <c r="F5" s="807" t="str">
        <f t="shared" ref="F5:F20" si="2">IF(ISBLANK(E5),"----",E5-$D5)</f>
        <v>----</v>
      </c>
      <c r="G5" s="795"/>
      <c r="H5" s="807" t="str">
        <f t="shared" si="0"/>
        <v>----</v>
      </c>
      <c r="I5" s="792">
        <v>400717.35</v>
      </c>
      <c r="J5" s="808">
        <f t="shared" si="1"/>
        <v>-21794.150000000023</v>
      </c>
    </row>
    <row r="6" spans="1:10">
      <c r="A6" s="91">
        <v>45097</v>
      </c>
      <c r="B6" s="92" t="s">
        <v>650</v>
      </c>
      <c r="C6" s="782">
        <v>364520</v>
      </c>
      <c r="D6" s="797">
        <f>C6</f>
        <v>364520</v>
      </c>
      <c r="E6" s="799"/>
      <c r="F6" s="662" t="str">
        <f t="shared" si="2"/>
        <v>----</v>
      </c>
      <c r="G6" s="799"/>
      <c r="H6" s="662" t="str">
        <f t="shared" si="0"/>
        <v>----</v>
      </c>
      <c r="I6" s="798"/>
      <c r="J6" s="663" t="str">
        <f t="shared" si="1"/>
        <v>----</v>
      </c>
    </row>
    <row r="7" spans="1:10">
      <c r="A7" s="88">
        <v>45342</v>
      </c>
      <c r="B7" s="448" t="s">
        <v>724</v>
      </c>
      <c r="C7" s="784">
        <v>399900.75</v>
      </c>
      <c r="D7" s="788">
        <f>C7</f>
        <v>399900.75</v>
      </c>
      <c r="E7" s="795"/>
      <c r="F7" s="807" t="str">
        <f t="shared" si="2"/>
        <v>----</v>
      </c>
      <c r="G7" s="795"/>
      <c r="H7" s="807" t="str">
        <f t="shared" si="0"/>
        <v>----</v>
      </c>
      <c r="I7" s="792"/>
      <c r="J7" s="808" t="str">
        <f t="shared" si="1"/>
        <v>----</v>
      </c>
    </row>
    <row r="8" spans="1:10">
      <c r="A8" s="91">
        <v>45489</v>
      </c>
      <c r="B8" s="411" t="s">
        <v>762</v>
      </c>
      <c r="C8" s="782">
        <v>770929.9</v>
      </c>
      <c r="D8" s="797">
        <f>C8</f>
        <v>770929.9</v>
      </c>
      <c r="E8" s="799"/>
      <c r="F8" s="662" t="str">
        <f t="shared" si="2"/>
        <v>----</v>
      </c>
      <c r="G8" s="799"/>
      <c r="H8" s="662" t="str">
        <f t="shared" si="0"/>
        <v>----</v>
      </c>
      <c r="I8" s="798"/>
      <c r="J8" s="663" t="str">
        <f t="shared" si="1"/>
        <v>----</v>
      </c>
    </row>
    <row r="9" spans="1:10">
      <c r="A9" s="88"/>
      <c r="B9" s="101"/>
      <c r="C9" s="784"/>
      <c r="D9" s="788"/>
      <c r="E9" s="795"/>
      <c r="F9" s="807" t="str">
        <f t="shared" si="2"/>
        <v>----</v>
      </c>
      <c r="G9" s="795"/>
      <c r="H9" s="807" t="str">
        <f t="shared" si="0"/>
        <v>----</v>
      </c>
      <c r="I9" s="792"/>
      <c r="J9" s="808" t="str">
        <f t="shared" si="1"/>
        <v>----</v>
      </c>
    </row>
    <row r="10" spans="1:10">
      <c r="A10" s="91"/>
      <c r="B10" s="92"/>
      <c r="C10" s="782"/>
      <c r="D10" s="797"/>
      <c r="E10" s="799"/>
      <c r="F10" s="662" t="str">
        <f t="shared" si="2"/>
        <v>----</v>
      </c>
      <c r="G10" s="799"/>
      <c r="H10" s="662" t="str">
        <f t="shared" si="0"/>
        <v>----</v>
      </c>
      <c r="I10" s="798"/>
      <c r="J10" s="663" t="str">
        <f t="shared" si="1"/>
        <v>----</v>
      </c>
    </row>
    <row r="11" spans="1:10">
      <c r="A11" s="88"/>
      <c r="B11" s="101"/>
      <c r="C11" s="784"/>
      <c r="D11" s="788"/>
      <c r="E11" s="795"/>
      <c r="F11" s="807" t="str">
        <f t="shared" si="2"/>
        <v>----</v>
      </c>
      <c r="G11" s="795"/>
      <c r="H11" s="807" t="str">
        <f t="shared" si="0"/>
        <v>----</v>
      </c>
      <c r="I11" s="792"/>
      <c r="J11" s="808" t="str">
        <f t="shared" si="1"/>
        <v>----</v>
      </c>
    </row>
    <row r="12" spans="1:10">
      <c r="A12" s="88"/>
      <c r="B12" s="101"/>
      <c r="C12" s="784"/>
      <c r="D12" s="788"/>
      <c r="E12" s="795"/>
      <c r="F12" s="807" t="str">
        <f t="shared" si="2"/>
        <v>----</v>
      </c>
      <c r="G12" s="795"/>
      <c r="H12" s="807" t="str">
        <f t="shared" si="0"/>
        <v>----</v>
      </c>
      <c r="I12" s="792"/>
      <c r="J12" s="808" t="str">
        <f t="shared" si="1"/>
        <v>----</v>
      </c>
    </row>
    <row r="13" spans="1:10">
      <c r="A13" s="91"/>
      <c r="B13" s="92"/>
      <c r="C13" s="782"/>
      <c r="D13" s="797"/>
      <c r="E13" s="799"/>
      <c r="F13" s="662" t="str">
        <f t="shared" si="2"/>
        <v>----</v>
      </c>
      <c r="G13" s="799"/>
      <c r="H13" s="662" t="str">
        <f t="shared" si="0"/>
        <v>----</v>
      </c>
      <c r="I13" s="798"/>
      <c r="J13" s="663" t="str">
        <f t="shared" si="1"/>
        <v>----</v>
      </c>
    </row>
    <row r="14" spans="1:10">
      <c r="A14" s="88"/>
      <c r="B14" s="101"/>
      <c r="C14" s="784"/>
      <c r="D14" s="788"/>
      <c r="E14" s="795"/>
      <c r="F14" s="807" t="str">
        <f t="shared" si="2"/>
        <v>----</v>
      </c>
      <c r="G14" s="795"/>
      <c r="H14" s="807" t="str">
        <f t="shared" si="0"/>
        <v>----</v>
      </c>
      <c r="I14" s="792"/>
      <c r="J14" s="808" t="str">
        <f t="shared" si="1"/>
        <v>----</v>
      </c>
    </row>
    <row r="15" spans="1:10">
      <c r="A15" s="91"/>
      <c r="B15" s="92"/>
      <c r="C15" s="782"/>
      <c r="D15" s="797"/>
      <c r="E15" s="799"/>
      <c r="F15" s="662" t="str">
        <f t="shared" si="2"/>
        <v>----</v>
      </c>
      <c r="G15" s="799"/>
      <c r="H15" s="662" t="str">
        <f t="shared" si="0"/>
        <v>----</v>
      </c>
      <c r="I15" s="798"/>
      <c r="J15" s="663" t="str">
        <f t="shared" si="1"/>
        <v>----</v>
      </c>
    </row>
    <row r="16" spans="1:10">
      <c r="A16" s="88"/>
      <c r="B16" s="101"/>
      <c r="C16" s="784"/>
      <c r="D16" s="788"/>
      <c r="E16" s="795"/>
      <c r="F16" s="807" t="str">
        <f t="shared" si="2"/>
        <v>----</v>
      </c>
      <c r="G16" s="795"/>
      <c r="H16" s="807" t="str">
        <f t="shared" si="0"/>
        <v>----</v>
      </c>
      <c r="I16" s="792"/>
      <c r="J16" s="808" t="str">
        <f t="shared" si="1"/>
        <v>----</v>
      </c>
    </row>
    <row r="17" spans="1:10">
      <c r="A17" s="91"/>
      <c r="B17" s="92"/>
      <c r="C17" s="782"/>
      <c r="D17" s="797"/>
      <c r="E17" s="799"/>
      <c r="F17" s="662" t="str">
        <f t="shared" si="2"/>
        <v>----</v>
      </c>
      <c r="G17" s="799"/>
      <c r="H17" s="662" t="str">
        <f t="shared" si="0"/>
        <v>----</v>
      </c>
      <c r="I17" s="798"/>
      <c r="J17" s="663" t="str">
        <f t="shared" si="1"/>
        <v>----</v>
      </c>
    </row>
    <row r="18" spans="1:10">
      <c r="A18" s="88"/>
      <c r="B18" s="101"/>
      <c r="C18" s="784"/>
      <c r="D18" s="788"/>
      <c r="E18" s="795"/>
      <c r="F18" s="807" t="str">
        <f t="shared" si="2"/>
        <v>----</v>
      </c>
      <c r="G18" s="795"/>
      <c r="H18" s="807" t="str">
        <f t="shared" si="0"/>
        <v>----</v>
      </c>
      <c r="I18" s="792"/>
      <c r="J18" s="808" t="str">
        <f t="shared" si="1"/>
        <v>----</v>
      </c>
    </row>
    <row r="19" spans="1:10">
      <c r="A19" s="91"/>
      <c r="B19" s="92"/>
      <c r="C19" s="782"/>
      <c r="D19" s="797"/>
      <c r="E19" s="799"/>
      <c r="F19" s="662" t="str">
        <f t="shared" si="2"/>
        <v>----</v>
      </c>
      <c r="G19" s="799"/>
      <c r="H19" s="662" t="str">
        <f t="shared" si="0"/>
        <v>----</v>
      </c>
      <c r="I19" s="798"/>
      <c r="J19" s="663" t="str">
        <f t="shared" si="1"/>
        <v>----</v>
      </c>
    </row>
    <row r="20" spans="1:10" ht="15.75" thickBot="1">
      <c r="A20" s="74"/>
      <c r="B20" s="75"/>
      <c r="C20" s="783"/>
      <c r="D20" s="790"/>
      <c r="E20" s="796"/>
      <c r="F20" s="801" t="str">
        <f t="shared" si="2"/>
        <v>----</v>
      </c>
      <c r="G20" s="796"/>
      <c r="H20" s="801" t="str">
        <f t="shared" si="0"/>
        <v>----</v>
      </c>
      <c r="I20" s="793"/>
      <c r="J20" s="802" t="str">
        <f t="shared" si="1"/>
        <v>----</v>
      </c>
    </row>
    <row r="21" spans="1:10" ht="15.75" thickBot="1">
      <c r="A21" s="27"/>
      <c r="B21" s="27"/>
      <c r="C21" s="814"/>
      <c r="D21" s="814"/>
      <c r="E21" s="814"/>
      <c r="F21" s="815">
        <f>SUM(F4:F20)</f>
        <v>-1349.0999999999767</v>
      </c>
      <c r="G21" s="814"/>
      <c r="H21" s="815">
        <f>SUM(H4:H20)</f>
        <v>0</v>
      </c>
      <c r="I21" s="814"/>
      <c r="J21" s="815">
        <f>SUM(J4:J20)</f>
        <v>-21794.150000000023</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CB255-C45C-471E-9134-38A8BB1B3850}">
  <dimension ref="A1:J8"/>
  <sheetViews>
    <sheetView workbookViewId="0">
      <selection activeCell="P13" sqref="P13"/>
    </sheetView>
  </sheetViews>
  <sheetFormatPr defaultRowHeight="15"/>
  <cols>
    <col min="5" max="8" width="9.140625" style="432"/>
  </cols>
  <sheetData>
    <row r="1" spans="1:10" ht="15.75" thickBot="1">
      <c r="A1" s="952" t="s">
        <v>259</v>
      </c>
      <c r="B1" s="953"/>
      <c r="C1" s="953"/>
      <c r="D1" s="953"/>
      <c r="E1" s="953"/>
      <c r="F1" s="953"/>
      <c r="G1" s="953"/>
      <c r="H1" s="953"/>
      <c r="I1" s="953"/>
      <c r="J1" s="954"/>
    </row>
    <row r="2" spans="1:10" s="432" customFormat="1">
      <c r="A2" s="959" t="s">
        <v>110</v>
      </c>
      <c r="B2" s="961" t="s">
        <v>111</v>
      </c>
      <c r="C2" s="961" t="s">
        <v>112</v>
      </c>
      <c r="D2" s="963" t="s">
        <v>120</v>
      </c>
      <c r="E2" s="957" t="s">
        <v>701</v>
      </c>
      <c r="F2" s="958"/>
      <c r="G2" s="957" t="s">
        <v>702</v>
      </c>
      <c r="H2" s="958"/>
      <c r="I2" s="932" t="s">
        <v>796</v>
      </c>
      <c r="J2" s="933"/>
    </row>
    <row r="3" spans="1:10" ht="69" thickBot="1">
      <c r="A3" s="960"/>
      <c r="B3" s="962"/>
      <c r="C3" s="962"/>
      <c r="D3" s="964"/>
      <c r="E3" s="460" t="s">
        <v>121</v>
      </c>
      <c r="F3" s="468" t="s">
        <v>704</v>
      </c>
      <c r="G3" s="460" t="s">
        <v>121</v>
      </c>
      <c r="H3" s="468" t="s">
        <v>704</v>
      </c>
      <c r="I3" s="478" t="s">
        <v>121</v>
      </c>
      <c r="J3" s="25" t="s">
        <v>704</v>
      </c>
    </row>
    <row r="4" spans="1:10">
      <c r="A4" s="70"/>
      <c r="B4" s="71"/>
      <c r="C4" s="72"/>
      <c r="D4" s="429"/>
      <c r="E4" s="469"/>
      <c r="F4" s="470" t="str">
        <f>IF(ISBLANK(E4),"----",E4-$D4)</f>
        <v>----</v>
      </c>
      <c r="G4" s="469"/>
      <c r="H4" s="470" t="str">
        <f>IF(OR(G4="Complete",ISBLANK(G4)),"----",G4-$D4)</f>
        <v>----</v>
      </c>
      <c r="I4" s="479"/>
      <c r="J4" s="73" t="str">
        <f>IF(OR(I4="Complete",ISBLANK(I4)),"----",I4-$D4)</f>
        <v>----</v>
      </c>
    </row>
    <row r="5" spans="1:10">
      <c r="A5" s="88"/>
      <c r="B5" s="101"/>
      <c r="C5" s="82"/>
      <c r="D5" s="431"/>
      <c r="E5" s="471"/>
      <c r="F5" s="472" t="str">
        <f t="shared" ref="F5:F7" si="0">IF(ISBLANK(E5),"----",E5-$D5)</f>
        <v>----</v>
      </c>
      <c r="G5" s="471"/>
      <c r="H5" s="472" t="str">
        <f>IF(OR(G5="Complete",ISBLANK(G5)),"----",G5-$D5)</f>
        <v>----</v>
      </c>
      <c r="I5" s="484"/>
      <c r="J5" s="83" t="str">
        <f>IF(OR(I5="Complete",ISBLANK(I5)),"----",I5-$D5)</f>
        <v>----</v>
      </c>
    </row>
    <row r="6" spans="1:10">
      <c r="A6" s="91"/>
      <c r="B6" s="92"/>
      <c r="C6" s="84"/>
      <c r="D6" s="477"/>
      <c r="E6" s="482"/>
      <c r="F6" s="483" t="str">
        <f t="shared" si="0"/>
        <v>----</v>
      </c>
      <c r="G6" s="482"/>
      <c r="H6" s="483" t="str">
        <f>IF(OR(G6="Complete",ISBLANK(G6)),"----",G6-$D6)</f>
        <v>----</v>
      </c>
      <c r="I6" s="480"/>
      <c r="J6" s="85" t="str">
        <f>IF(OR(I6="Complete",ISBLANK(I6)),"----",I6-$D6)</f>
        <v>----</v>
      </c>
    </row>
    <row r="7" spans="1:10" ht="15.75" thickBot="1">
      <c r="A7" s="74"/>
      <c r="B7" s="75"/>
      <c r="C7" s="76"/>
      <c r="D7" s="430"/>
      <c r="E7" s="475"/>
      <c r="F7" s="476" t="str">
        <f t="shared" si="0"/>
        <v>----</v>
      </c>
      <c r="G7" s="475"/>
      <c r="H7" s="476" t="str">
        <f>IF(OR(G7="Complete",ISBLANK(G7)),"----",G7-$D7)</f>
        <v>----</v>
      </c>
      <c r="I7" s="481"/>
      <c r="J7" s="77" t="str">
        <f>IF(OR(I7="Complete",ISBLANK(I7)),"----",I7-$D7)</f>
        <v>----</v>
      </c>
    </row>
    <row r="8" spans="1:10" ht="15.75" thickBot="1">
      <c r="A8" s="27"/>
      <c r="B8" s="27"/>
      <c r="C8" s="28"/>
      <c r="D8" s="28"/>
      <c r="E8" s="439"/>
      <c r="F8" s="441">
        <f>SUM(F4:F7)</f>
        <v>0</v>
      </c>
      <c r="G8" s="439"/>
      <c r="H8" s="441">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E6DC-F46C-4506-9B6C-1AF94D07CE76}">
  <dimension ref="A1:K30"/>
  <sheetViews>
    <sheetView workbookViewId="0">
      <selection activeCell="D21" sqref="D21"/>
    </sheetView>
  </sheetViews>
  <sheetFormatPr defaultRowHeight="15"/>
  <cols>
    <col min="2" max="2" width="22.85546875" bestFit="1" customWidth="1"/>
    <col min="3" max="3" width="12.5703125" bestFit="1" customWidth="1"/>
    <col min="4" max="4" width="11.140625" customWidth="1"/>
    <col min="5" max="5" width="10.7109375" style="432" bestFit="1" customWidth="1"/>
    <col min="6" max="6" width="11.5703125" style="432" customWidth="1"/>
    <col min="7" max="7" width="10.7109375" style="432" bestFit="1" customWidth="1"/>
    <col min="8" max="8" width="11.5703125" style="432" customWidth="1"/>
    <col min="9" max="9" width="10.7109375" bestFit="1" customWidth="1"/>
    <col min="10" max="10" width="11.5703125" customWidth="1"/>
  </cols>
  <sheetData>
    <row r="1" spans="1:11" ht="15.75" thickBot="1">
      <c r="A1" s="952" t="s">
        <v>137</v>
      </c>
      <c r="B1" s="953"/>
      <c r="C1" s="953"/>
      <c r="D1" s="953"/>
      <c r="E1" s="953"/>
      <c r="F1" s="953"/>
      <c r="G1" s="953"/>
      <c r="H1" s="953"/>
      <c r="I1" s="953"/>
      <c r="J1" s="954"/>
    </row>
    <row r="2" spans="1:11" s="432" customFormat="1">
      <c r="A2" s="959" t="s">
        <v>110</v>
      </c>
      <c r="B2" s="961" t="s">
        <v>111</v>
      </c>
      <c r="C2" s="961" t="s">
        <v>112</v>
      </c>
      <c r="D2" s="963" t="s">
        <v>120</v>
      </c>
      <c r="E2" s="957" t="s">
        <v>701</v>
      </c>
      <c r="F2" s="958"/>
      <c r="G2" s="957" t="s">
        <v>702</v>
      </c>
      <c r="H2" s="958"/>
      <c r="I2" s="932" t="s">
        <v>796</v>
      </c>
      <c r="J2" s="933"/>
    </row>
    <row r="3" spans="1:11" ht="57.75" thickBot="1">
      <c r="A3" s="960"/>
      <c r="B3" s="962"/>
      <c r="C3" s="962"/>
      <c r="D3" s="964"/>
      <c r="E3" s="460" t="s">
        <v>121</v>
      </c>
      <c r="F3" s="468" t="s">
        <v>704</v>
      </c>
      <c r="G3" s="460" t="s">
        <v>121</v>
      </c>
      <c r="H3" s="468" t="s">
        <v>704</v>
      </c>
      <c r="I3" s="478" t="s">
        <v>121</v>
      </c>
      <c r="J3" s="25" t="s">
        <v>704</v>
      </c>
    </row>
    <row r="4" spans="1:11">
      <c r="A4" s="99">
        <v>43788</v>
      </c>
      <c r="B4" s="100" t="s">
        <v>147</v>
      </c>
      <c r="C4" s="744">
        <v>597115.5</v>
      </c>
      <c r="D4" s="745">
        <v>477692.4</v>
      </c>
      <c r="E4" s="746"/>
      <c r="F4" s="747" t="str">
        <f>IF(ISBLANK(E4),"----",E4-$D4)</f>
        <v>----</v>
      </c>
      <c r="G4" s="746"/>
      <c r="H4" s="747" t="str">
        <f t="shared" ref="H4:H28" si="0">IF(OR(G4="Complete",ISBLANK(G4)),"----",G4-$D4)</f>
        <v>----</v>
      </c>
      <c r="I4" s="748"/>
      <c r="J4" s="749" t="str">
        <f t="shared" ref="J4:J28" si="1">IF(OR(I4="Complete",ISBLANK(I4)),"----",I4-$D4)</f>
        <v>----</v>
      </c>
      <c r="K4" t="s">
        <v>148</v>
      </c>
    </row>
    <row r="5" spans="1:11">
      <c r="A5" s="127">
        <v>43998</v>
      </c>
      <c r="B5" s="128" t="s">
        <v>291</v>
      </c>
      <c r="C5" s="750">
        <v>179894</v>
      </c>
      <c r="D5" s="751">
        <v>143915.20000000001</v>
      </c>
      <c r="E5" s="752"/>
      <c r="F5" s="753" t="str">
        <f t="shared" ref="F5:F28" si="2">IF(ISBLANK(E5),"----",E5-$D5)</f>
        <v>----</v>
      </c>
      <c r="G5" s="752"/>
      <c r="H5" s="753" t="str">
        <f t="shared" si="0"/>
        <v>----</v>
      </c>
      <c r="I5" s="754"/>
      <c r="J5" s="755" t="str">
        <f t="shared" si="1"/>
        <v>----</v>
      </c>
    </row>
    <row r="6" spans="1:11">
      <c r="A6" s="120">
        <v>44153</v>
      </c>
      <c r="B6" s="121" t="s">
        <v>329</v>
      </c>
      <c r="C6" s="725">
        <v>281201.7</v>
      </c>
      <c r="D6" s="742">
        <f t="shared" ref="D6:D12" si="3">C6</f>
        <v>281201.7</v>
      </c>
      <c r="E6" s="756">
        <v>266195.14</v>
      </c>
      <c r="F6" s="753">
        <f t="shared" si="2"/>
        <v>-15006.559999999998</v>
      </c>
      <c r="G6" s="756" t="s">
        <v>703</v>
      </c>
      <c r="H6" s="753" t="str">
        <f t="shared" si="0"/>
        <v>----</v>
      </c>
      <c r="I6" s="757" t="s">
        <v>703</v>
      </c>
      <c r="J6" s="755" t="str">
        <f t="shared" si="1"/>
        <v>----</v>
      </c>
    </row>
    <row r="7" spans="1:11">
      <c r="A7" s="120">
        <v>44243</v>
      </c>
      <c r="B7" s="121" t="s">
        <v>396</v>
      </c>
      <c r="C7" s="725">
        <v>103731.6</v>
      </c>
      <c r="D7" s="742">
        <f t="shared" si="3"/>
        <v>103731.6</v>
      </c>
      <c r="E7" s="756">
        <v>103779.55</v>
      </c>
      <c r="F7" s="753">
        <f t="shared" si="2"/>
        <v>47.94999999999709</v>
      </c>
      <c r="G7" s="756" t="s">
        <v>703</v>
      </c>
      <c r="H7" s="753" t="str">
        <f t="shared" si="0"/>
        <v>----</v>
      </c>
      <c r="I7" s="757" t="s">
        <v>703</v>
      </c>
      <c r="J7" s="755" t="str">
        <f t="shared" si="1"/>
        <v>----</v>
      </c>
    </row>
    <row r="8" spans="1:11">
      <c r="A8" s="120">
        <v>44243</v>
      </c>
      <c r="B8" s="121" t="s">
        <v>397</v>
      </c>
      <c r="C8" s="725">
        <v>495760.5</v>
      </c>
      <c r="D8" s="742">
        <f t="shared" si="3"/>
        <v>495760.5</v>
      </c>
      <c r="E8" s="756">
        <v>493060.52</v>
      </c>
      <c r="F8" s="753">
        <f t="shared" si="2"/>
        <v>-2699.9799999999814</v>
      </c>
      <c r="G8" s="756" t="s">
        <v>703</v>
      </c>
      <c r="H8" s="753" t="str">
        <f t="shared" si="0"/>
        <v>----</v>
      </c>
      <c r="I8" s="757" t="s">
        <v>703</v>
      </c>
      <c r="J8" s="755" t="str">
        <f t="shared" si="1"/>
        <v>----</v>
      </c>
    </row>
    <row r="9" spans="1:11">
      <c r="A9" s="120">
        <v>44271</v>
      </c>
      <c r="B9" s="121" t="s">
        <v>406</v>
      </c>
      <c r="C9" s="725">
        <v>324861.8</v>
      </c>
      <c r="D9" s="742">
        <f t="shared" si="3"/>
        <v>324861.8</v>
      </c>
      <c r="E9" s="756">
        <v>323236.81</v>
      </c>
      <c r="F9" s="753">
        <f t="shared" si="2"/>
        <v>-1624.9899999999907</v>
      </c>
      <c r="G9" s="756" t="s">
        <v>703</v>
      </c>
      <c r="H9" s="753" t="str">
        <f t="shared" si="0"/>
        <v>----</v>
      </c>
      <c r="I9" s="757" t="s">
        <v>703</v>
      </c>
      <c r="J9" s="755" t="str">
        <f t="shared" si="1"/>
        <v>----</v>
      </c>
    </row>
    <row r="10" spans="1:11">
      <c r="A10" s="219">
        <v>44397</v>
      </c>
      <c r="B10" s="220" t="s">
        <v>434</v>
      </c>
      <c r="C10" s="758">
        <f>164988.83/2</f>
        <v>82494.414999999994</v>
      </c>
      <c r="D10" s="759">
        <f t="shared" si="3"/>
        <v>82494.414999999994</v>
      </c>
      <c r="E10" s="760">
        <v>75833.789999999994</v>
      </c>
      <c r="F10" s="761">
        <f t="shared" si="2"/>
        <v>-6660.625</v>
      </c>
      <c r="G10" s="760" t="s">
        <v>703</v>
      </c>
      <c r="H10" s="761" t="str">
        <f t="shared" si="0"/>
        <v>----</v>
      </c>
      <c r="I10" s="762" t="s">
        <v>703</v>
      </c>
      <c r="J10" s="763" t="str">
        <f t="shared" si="1"/>
        <v>----</v>
      </c>
      <c r="K10" t="s">
        <v>436</v>
      </c>
    </row>
    <row r="11" spans="1:11">
      <c r="A11" s="123">
        <v>44580</v>
      </c>
      <c r="B11" s="124" t="s">
        <v>491</v>
      </c>
      <c r="C11" s="726">
        <v>347870.6</v>
      </c>
      <c r="D11" s="743">
        <f t="shared" si="3"/>
        <v>347870.6</v>
      </c>
      <c r="E11" s="764">
        <v>339834.86</v>
      </c>
      <c r="F11" s="753">
        <f t="shared" si="2"/>
        <v>-8035.7399999999907</v>
      </c>
      <c r="G11" s="764" t="s">
        <v>703</v>
      </c>
      <c r="H11" s="753" t="str">
        <f t="shared" si="0"/>
        <v>----</v>
      </c>
      <c r="I11" s="765" t="s">
        <v>703</v>
      </c>
      <c r="J11" s="755" t="str">
        <f t="shared" si="1"/>
        <v>----</v>
      </c>
    </row>
    <row r="12" spans="1:11">
      <c r="A12" s="120">
        <v>44761</v>
      </c>
      <c r="B12" s="121" t="s">
        <v>147</v>
      </c>
      <c r="C12" s="725">
        <v>224088.2</v>
      </c>
      <c r="D12" s="743">
        <f t="shared" si="3"/>
        <v>224088.2</v>
      </c>
      <c r="E12" s="756">
        <v>224088.2</v>
      </c>
      <c r="F12" s="753">
        <f t="shared" si="2"/>
        <v>0</v>
      </c>
      <c r="G12" s="756" t="s">
        <v>703</v>
      </c>
      <c r="H12" s="753" t="str">
        <f t="shared" si="0"/>
        <v>----</v>
      </c>
      <c r="I12" s="757" t="s">
        <v>703</v>
      </c>
      <c r="J12" s="755" t="str">
        <f t="shared" si="1"/>
        <v>----</v>
      </c>
      <c r="K12" t="s">
        <v>546</v>
      </c>
    </row>
    <row r="13" spans="1:11">
      <c r="A13" s="123">
        <v>44761</v>
      </c>
      <c r="B13" s="124" t="s">
        <v>545</v>
      </c>
      <c r="C13" s="726">
        <f>206085/2</f>
        <v>103042.5</v>
      </c>
      <c r="D13" s="743">
        <f>C13</f>
        <v>103042.5</v>
      </c>
      <c r="E13" s="764">
        <v>104248.34</v>
      </c>
      <c r="F13" s="753">
        <f t="shared" si="2"/>
        <v>1205.8399999999965</v>
      </c>
      <c r="G13" s="764" t="s">
        <v>703</v>
      </c>
      <c r="H13" s="753" t="str">
        <f t="shared" si="0"/>
        <v>----</v>
      </c>
      <c r="I13" s="765" t="s">
        <v>703</v>
      </c>
      <c r="J13" s="755" t="str">
        <f t="shared" si="1"/>
        <v>----</v>
      </c>
      <c r="K13" t="s">
        <v>556</v>
      </c>
    </row>
    <row r="14" spans="1:11">
      <c r="A14" s="120">
        <v>45062</v>
      </c>
      <c r="B14" s="121" t="s">
        <v>645</v>
      </c>
      <c r="C14" s="725">
        <v>388864.8</v>
      </c>
      <c r="D14" s="742">
        <f>C14</f>
        <v>388864.8</v>
      </c>
      <c r="E14" s="756"/>
      <c r="F14" s="753" t="str">
        <f t="shared" si="2"/>
        <v>----</v>
      </c>
      <c r="G14" s="756">
        <v>388864.8</v>
      </c>
      <c r="H14" s="753">
        <f t="shared" si="0"/>
        <v>0</v>
      </c>
      <c r="I14" s="765" t="s">
        <v>703</v>
      </c>
      <c r="J14" s="755" t="str">
        <f t="shared" si="1"/>
        <v>----</v>
      </c>
    </row>
    <row r="15" spans="1:11">
      <c r="A15" s="123">
        <v>45062</v>
      </c>
      <c r="B15" s="124" t="s">
        <v>646</v>
      </c>
      <c r="C15" s="726">
        <v>369684.07</v>
      </c>
      <c r="D15" s="743">
        <f>C15</f>
        <v>369684.07</v>
      </c>
      <c r="E15" s="764"/>
      <c r="F15" s="753" t="str">
        <f t="shared" si="2"/>
        <v>----</v>
      </c>
      <c r="G15" s="764">
        <v>373252.12</v>
      </c>
      <c r="H15" s="753">
        <f t="shared" si="0"/>
        <v>3568.0499999999884</v>
      </c>
      <c r="I15" s="765" t="s">
        <v>703</v>
      </c>
      <c r="J15" s="755" t="str">
        <f t="shared" si="1"/>
        <v>----</v>
      </c>
    </row>
    <row r="16" spans="1:11">
      <c r="A16" s="120">
        <v>45398</v>
      </c>
      <c r="B16" s="121" t="s">
        <v>738</v>
      </c>
      <c r="C16" s="725">
        <v>403283.9</v>
      </c>
      <c r="D16" s="742">
        <f>C16</f>
        <v>403283.9</v>
      </c>
      <c r="E16" s="756"/>
      <c r="F16" s="753" t="str">
        <f t="shared" si="2"/>
        <v>----</v>
      </c>
      <c r="G16" s="756"/>
      <c r="H16" s="753" t="str">
        <f t="shared" si="0"/>
        <v>----</v>
      </c>
      <c r="I16" s="757"/>
      <c r="J16" s="755" t="str">
        <f t="shared" si="1"/>
        <v>----</v>
      </c>
    </row>
    <row r="17" spans="1:11" s="432" customFormat="1">
      <c r="A17" s="123">
        <v>45489</v>
      </c>
      <c r="B17" s="124" t="s">
        <v>760</v>
      </c>
      <c r="C17" s="726">
        <v>1552973.7</v>
      </c>
      <c r="D17" s="742">
        <f>C17-1500000</f>
        <v>52973.699999999953</v>
      </c>
      <c r="E17" s="764"/>
      <c r="F17" s="753" t="str">
        <f t="shared" ref="F17:F26" si="4">IF(ISBLANK(E17),"----",E17-$D17)</f>
        <v>----</v>
      </c>
      <c r="G17" s="764"/>
      <c r="H17" s="753" t="str">
        <f t="shared" si="0"/>
        <v>----</v>
      </c>
      <c r="I17" s="765"/>
      <c r="J17" s="755" t="str">
        <f t="shared" ref="J17:J26" si="5">IF(OR(I17="Complete",ISBLANK(I17)),"----",I17-$D17)</f>
        <v>----</v>
      </c>
      <c r="K17" s="432" t="s">
        <v>766</v>
      </c>
    </row>
    <row r="18" spans="1:11" s="432" customFormat="1">
      <c r="A18" s="123">
        <v>45489</v>
      </c>
      <c r="B18" s="124" t="s">
        <v>761</v>
      </c>
      <c r="C18" s="726">
        <v>375466.68</v>
      </c>
      <c r="D18" s="742">
        <f t="shared" ref="D18" si="6">C18</f>
        <v>375466.68</v>
      </c>
      <c r="E18" s="764"/>
      <c r="F18" s="753" t="str">
        <f t="shared" si="4"/>
        <v>----</v>
      </c>
      <c r="G18" s="764"/>
      <c r="H18" s="753" t="str">
        <f t="shared" si="0"/>
        <v>----</v>
      </c>
      <c r="I18" s="765"/>
      <c r="J18" s="755" t="str">
        <f t="shared" si="5"/>
        <v>----</v>
      </c>
    </row>
    <row r="19" spans="1:11" s="432" customFormat="1">
      <c r="A19" s="716">
        <v>45643</v>
      </c>
      <c r="B19" s="717" t="s">
        <v>801</v>
      </c>
      <c r="C19" s="726">
        <v>169273</v>
      </c>
      <c r="D19" s="743">
        <f>C19</f>
        <v>169273</v>
      </c>
      <c r="E19" s="764"/>
      <c r="F19" s="753" t="str">
        <f t="shared" si="4"/>
        <v>----</v>
      </c>
      <c r="G19" s="764"/>
      <c r="H19" s="753" t="str">
        <f t="shared" si="0"/>
        <v>----</v>
      </c>
      <c r="I19" s="765"/>
      <c r="J19" s="755" t="str">
        <f t="shared" si="5"/>
        <v>----</v>
      </c>
    </row>
    <row r="20" spans="1:11" s="432" customFormat="1">
      <c r="A20" s="123">
        <v>45916</v>
      </c>
      <c r="B20" s="717" t="s">
        <v>906</v>
      </c>
      <c r="C20" s="726">
        <v>396479.75</v>
      </c>
      <c r="D20" s="743">
        <f>C20</f>
        <v>396479.75</v>
      </c>
      <c r="E20" s="764"/>
      <c r="F20" s="753" t="str">
        <f t="shared" si="4"/>
        <v>----</v>
      </c>
      <c r="G20" s="764"/>
      <c r="H20" s="753" t="str">
        <f t="shared" si="0"/>
        <v>----</v>
      </c>
      <c r="I20" s="765"/>
      <c r="J20" s="755" t="str">
        <f t="shared" si="5"/>
        <v>----</v>
      </c>
    </row>
    <row r="21" spans="1:11" s="432" customFormat="1">
      <c r="A21" s="123"/>
      <c r="B21" s="124"/>
      <c r="C21" s="726"/>
      <c r="D21" s="743"/>
      <c r="E21" s="764"/>
      <c r="F21" s="753" t="str">
        <f t="shared" si="4"/>
        <v>----</v>
      </c>
      <c r="G21" s="764"/>
      <c r="H21" s="753" t="str">
        <f t="shared" si="0"/>
        <v>----</v>
      </c>
      <c r="I21" s="765"/>
      <c r="J21" s="755" t="str">
        <f t="shared" si="5"/>
        <v>----</v>
      </c>
    </row>
    <row r="22" spans="1:11" s="432" customFormat="1">
      <c r="A22" s="123"/>
      <c r="B22" s="124"/>
      <c r="C22" s="726"/>
      <c r="D22" s="743"/>
      <c r="E22" s="764"/>
      <c r="F22" s="753" t="str">
        <f t="shared" si="4"/>
        <v>----</v>
      </c>
      <c r="G22" s="764"/>
      <c r="H22" s="753" t="str">
        <f t="shared" si="0"/>
        <v>----</v>
      </c>
      <c r="I22" s="765"/>
      <c r="J22" s="755" t="str">
        <f t="shared" si="5"/>
        <v>----</v>
      </c>
    </row>
    <row r="23" spans="1:11" s="432" customFormat="1">
      <c r="A23" s="123"/>
      <c r="B23" s="124"/>
      <c r="C23" s="726"/>
      <c r="D23" s="743"/>
      <c r="E23" s="764"/>
      <c r="F23" s="753" t="str">
        <f t="shared" si="4"/>
        <v>----</v>
      </c>
      <c r="G23" s="764"/>
      <c r="H23" s="753" t="str">
        <f t="shared" si="0"/>
        <v>----</v>
      </c>
      <c r="I23" s="765"/>
      <c r="J23" s="755" t="str">
        <f t="shared" si="5"/>
        <v>----</v>
      </c>
    </row>
    <row r="24" spans="1:11" s="432" customFormat="1">
      <c r="A24" s="123"/>
      <c r="B24" s="124"/>
      <c r="C24" s="726"/>
      <c r="D24" s="743"/>
      <c r="E24" s="764"/>
      <c r="F24" s="753" t="str">
        <f t="shared" si="4"/>
        <v>----</v>
      </c>
      <c r="G24" s="764"/>
      <c r="H24" s="753" t="str">
        <f t="shared" si="0"/>
        <v>----</v>
      </c>
      <c r="I24" s="765"/>
      <c r="J24" s="755" t="str">
        <f t="shared" si="5"/>
        <v>----</v>
      </c>
    </row>
    <row r="25" spans="1:11" s="432" customFormat="1">
      <c r="A25" s="123"/>
      <c r="B25" s="124"/>
      <c r="C25" s="726"/>
      <c r="D25" s="743"/>
      <c r="E25" s="764"/>
      <c r="F25" s="753" t="str">
        <f t="shared" si="4"/>
        <v>----</v>
      </c>
      <c r="G25" s="764"/>
      <c r="H25" s="753" t="str">
        <f t="shared" si="0"/>
        <v>----</v>
      </c>
      <c r="I25" s="765"/>
      <c r="J25" s="755" t="str">
        <f t="shared" si="5"/>
        <v>----</v>
      </c>
    </row>
    <row r="26" spans="1:11" s="432" customFormat="1">
      <c r="A26" s="123"/>
      <c r="B26" s="124"/>
      <c r="C26" s="726"/>
      <c r="D26" s="743"/>
      <c r="E26" s="764"/>
      <c r="F26" s="753" t="str">
        <f t="shared" si="4"/>
        <v>----</v>
      </c>
      <c r="G26" s="764"/>
      <c r="H26" s="753" t="str">
        <f t="shared" si="0"/>
        <v>----</v>
      </c>
      <c r="I26" s="765"/>
      <c r="J26" s="755" t="str">
        <f t="shared" si="5"/>
        <v>----</v>
      </c>
    </row>
    <row r="27" spans="1:11">
      <c r="A27" s="123"/>
      <c r="B27" s="124"/>
      <c r="C27" s="726"/>
      <c r="D27" s="743"/>
      <c r="E27" s="764"/>
      <c r="F27" s="753" t="str">
        <f t="shared" si="2"/>
        <v>----</v>
      </c>
      <c r="G27" s="764"/>
      <c r="H27" s="753" t="str">
        <f t="shared" si="0"/>
        <v>----</v>
      </c>
      <c r="I27" s="765"/>
      <c r="J27" s="755" t="str">
        <f t="shared" si="1"/>
        <v>----</v>
      </c>
    </row>
    <row r="28" spans="1:11" ht="15.75" thickBot="1">
      <c r="A28" s="74"/>
      <c r="B28" s="75"/>
      <c r="C28" s="723"/>
      <c r="D28" s="731"/>
      <c r="E28" s="741"/>
      <c r="F28" s="766" t="str">
        <f t="shared" si="2"/>
        <v>----</v>
      </c>
      <c r="G28" s="741"/>
      <c r="H28" s="766" t="str">
        <f t="shared" si="0"/>
        <v>----</v>
      </c>
      <c r="I28" s="736"/>
      <c r="J28" s="767" t="str">
        <f t="shared" si="1"/>
        <v>----</v>
      </c>
    </row>
    <row r="29" spans="1:11" ht="15.75" thickBot="1">
      <c r="A29" s="27"/>
      <c r="B29" s="27"/>
      <c r="C29" s="28"/>
      <c r="D29" s="28"/>
      <c r="E29" s="439"/>
      <c r="F29" s="441">
        <f>SUM(F4:F28)</f>
        <v>-32774.104999999967</v>
      </c>
      <c r="G29" s="439"/>
      <c r="H29" s="441">
        <f>SUM(H4:H28)</f>
        <v>3568.0499999999884</v>
      </c>
      <c r="I29" s="28"/>
      <c r="J29" s="69">
        <f>SUM(J4:J28)</f>
        <v>0</v>
      </c>
    </row>
    <row r="30" spans="1:11">
      <c r="A30" s="17"/>
      <c r="B30" s="17"/>
      <c r="C30" s="20"/>
      <c r="D30" s="20"/>
      <c r="E30" s="435"/>
      <c r="F30" s="435"/>
      <c r="G30" s="435"/>
      <c r="H30" s="435"/>
      <c r="I30" s="20"/>
      <c r="J30" s="20"/>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FE24-CAEB-4A60-B913-71BBCAA7299A}">
  <dimension ref="A1:J25"/>
  <sheetViews>
    <sheetView workbookViewId="0">
      <selection activeCell="J30" sqref="J30"/>
    </sheetView>
  </sheetViews>
  <sheetFormatPr defaultRowHeight="15"/>
  <cols>
    <col min="2" max="2" width="22.7109375" bestFit="1" customWidth="1"/>
    <col min="3" max="3" width="12" bestFit="1" customWidth="1"/>
    <col min="4" max="4" width="12.5703125" customWidth="1"/>
    <col min="5" max="5" width="12" style="432" bestFit="1" customWidth="1"/>
    <col min="6" max="6" width="15" style="432" customWidth="1"/>
    <col min="7" max="7" width="12" style="432" bestFit="1" customWidth="1"/>
    <col min="8" max="8" width="15" style="432" customWidth="1"/>
    <col min="9" max="9" width="12" bestFit="1" customWidth="1"/>
    <col min="10" max="10" width="15" customWidth="1"/>
  </cols>
  <sheetData>
    <row r="1" spans="1:10" ht="15.75" thickBot="1">
      <c r="A1" s="952" t="s">
        <v>180</v>
      </c>
      <c r="B1" s="953"/>
      <c r="C1" s="953"/>
      <c r="D1" s="953"/>
      <c r="E1" s="953"/>
      <c r="F1" s="953"/>
      <c r="G1" s="953"/>
      <c r="H1" s="953"/>
      <c r="I1" s="953"/>
      <c r="J1" s="954"/>
    </row>
    <row r="2" spans="1:10" s="432" customFormat="1">
      <c r="A2" s="959" t="s">
        <v>110</v>
      </c>
      <c r="B2" s="961" t="s">
        <v>111</v>
      </c>
      <c r="C2" s="961" t="s">
        <v>112</v>
      </c>
      <c r="D2" s="963" t="s">
        <v>120</v>
      </c>
      <c r="E2" s="957" t="s">
        <v>701</v>
      </c>
      <c r="F2" s="958"/>
      <c r="G2" s="957" t="s">
        <v>702</v>
      </c>
      <c r="H2" s="958"/>
      <c r="I2" s="932" t="s">
        <v>796</v>
      </c>
      <c r="J2" s="933"/>
    </row>
    <row r="3" spans="1:10" ht="46.5" thickBot="1">
      <c r="A3" s="960"/>
      <c r="B3" s="962"/>
      <c r="C3" s="962"/>
      <c r="D3" s="964"/>
      <c r="E3" s="460" t="s">
        <v>121</v>
      </c>
      <c r="F3" s="468" t="s">
        <v>704</v>
      </c>
      <c r="G3" s="460" t="s">
        <v>121</v>
      </c>
      <c r="H3" s="468" t="s">
        <v>704</v>
      </c>
      <c r="I3" s="478" t="s">
        <v>121</v>
      </c>
      <c r="J3" s="25" t="s">
        <v>704</v>
      </c>
    </row>
    <row r="4" spans="1:10">
      <c r="A4" s="70">
        <v>43852</v>
      </c>
      <c r="B4" s="71" t="s">
        <v>201</v>
      </c>
      <c r="C4" s="72">
        <v>501799.95</v>
      </c>
      <c r="D4" s="429">
        <f>C4</f>
        <v>501799.95</v>
      </c>
      <c r="E4" s="469">
        <v>498472.85</v>
      </c>
      <c r="F4" s="470">
        <f>IF(ISBLANK(E4),"----",E4-$D4)</f>
        <v>-3327.1000000000349</v>
      </c>
      <c r="G4" s="469" t="s">
        <v>703</v>
      </c>
      <c r="H4" s="470" t="str">
        <f t="shared" ref="H4:H24" si="0">IF(OR(G4="Complete",ISBLANK(G4)),"----",G4-$D4)</f>
        <v>----</v>
      </c>
      <c r="I4" s="479" t="s">
        <v>703</v>
      </c>
      <c r="J4" s="73" t="str">
        <f t="shared" ref="J4:J24" si="1">IF(OR(I4="Complete",ISBLANK(I4)),"----",I4-$D4)</f>
        <v>----</v>
      </c>
    </row>
    <row r="5" spans="1:10">
      <c r="A5" s="88">
        <v>44216</v>
      </c>
      <c r="B5" s="101" t="s">
        <v>373</v>
      </c>
      <c r="C5" s="82">
        <v>1107321.05</v>
      </c>
      <c r="D5" s="431">
        <f>C5</f>
        <v>1107321.05</v>
      </c>
      <c r="E5" s="471">
        <v>1137680.49</v>
      </c>
      <c r="F5" s="472">
        <f t="shared" ref="F5:F24" si="2">IF(ISBLANK(E5),"----",E5-$D5)</f>
        <v>30359.439999999944</v>
      </c>
      <c r="G5" s="471" t="s">
        <v>703</v>
      </c>
      <c r="H5" s="472" t="str">
        <f t="shared" si="0"/>
        <v>----</v>
      </c>
      <c r="I5" s="484" t="s">
        <v>703</v>
      </c>
      <c r="J5" s="83" t="str">
        <f t="shared" si="1"/>
        <v>----</v>
      </c>
    </row>
    <row r="6" spans="1:10">
      <c r="A6" s="102">
        <v>45125</v>
      </c>
      <c r="B6" s="103" t="s">
        <v>655</v>
      </c>
      <c r="C6" s="87">
        <v>1699701.65</v>
      </c>
      <c r="D6" s="466">
        <f>C6</f>
        <v>1699701.65</v>
      </c>
      <c r="E6" s="473"/>
      <c r="F6" s="472" t="str">
        <f t="shared" si="2"/>
        <v>----</v>
      </c>
      <c r="G6" s="473"/>
      <c r="H6" s="472" t="str">
        <f t="shared" si="0"/>
        <v>----</v>
      </c>
      <c r="I6" s="486"/>
      <c r="J6" s="83" t="str">
        <f t="shared" si="1"/>
        <v>----</v>
      </c>
    </row>
    <row r="7" spans="1:10">
      <c r="A7" s="102"/>
      <c r="B7" s="103"/>
      <c r="C7" s="87"/>
      <c r="D7" s="466"/>
      <c r="E7" s="473"/>
      <c r="F7" s="472" t="str">
        <f t="shared" si="2"/>
        <v>----</v>
      </c>
      <c r="G7" s="473"/>
      <c r="H7" s="472" t="str">
        <f t="shared" si="0"/>
        <v>----</v>
      </c>
      <c r="I7" s="486"/>
      <c r="J7" s="83" t="str">
        <f t="shared" si="1"/>
        <v>----</v>
      </c>
    </row>
    <row r="8" spans="1:10">
      <c r="A8" s="102"/>
      <c r="B8" s="103"/>
      <c r="C8" s="87"/>
      <c r="D8" s="466"/>
      <c r="E8" s="473"/>
      <c r="F8" s="472" t="str">
        <f t="shared" si="2"/>
        <v>----</v>
      </c>
      <c r="G8" s="473"/>
      <c r="H8" s="472" t="str">
        <f t="shared" si="0"/>
        <v>----</v>
      </c>
      <c r="I8" s="486"/>
      <c r="J8" s="83" t="str">
        <f t="shared" si="1"/>
        <v>----</v>
      </c>
    </row>
    <row r="9" spans="1:10">
      <c r="A9" s="102"/>
      <c r="B9" s="103"/>
      <c r="C9" s="87"/>
      <c r="D9" s="466"/>
      <c r="E9" s="473"/>
      <c r="F9" s="472" t="str">
        <f t="shared" si="2"/>
        <v>----</v>
      </c>
      <c r="G9" s="473"/>
      <c r="H9" s="472" t="str">
        <f t="shared" si="0"/>
        <v>----</v>
      </c>
      <c r="I9" s="486"/>
      <c r="J9" s="83" t="str">
        <f t="shared" si="1"/>
        <v>----</v>
      </c>
    </row>
    <row r="10" spans="1:10">
      <c r="A10" s="102"/>
      <c r="B10" s="103"/>
      <c r="C10" s="87"/>
      <c r="D10" s="466"/>
      <c r="E10" s="473"/>
      <c r="F10" s="472" t="str">
        <f t="shared" si="2"/>
        <v>----</v>
      </c>
      <c r="G10" s="473"/>
      <c r="H10" s="472" t="str">
        <f t="shared" si="0"/>
        <v>----</v>
      </c>
      <c r="I10" s="486"/>
      <c r="J10" s="83" t="str">
        <f t="shared" si="1"/>
        <v>----</v>
      </c>
    </row>
    <row r="11" spans="1:10">
      <c r="A11" s="102"/>
      <c r="B11" s="103"/>
      <c r="C11" s="87"/>
      <c r="D11" s="466"/>
      <c r="E11" s="473"/>
      <c r="F11" s="472" t="str">
        <f t="shared" si="2"/>
        <v>----</v>
      </c>
      <c r="G11" s="473"/>
      <c r="H11" s="472" t="str">
        <f t="shared" si="0"/>
        <v>----</v>
      </c>
      <c r="I11" s="486"/>
      <c r="J11" s="83" t="str">
        <f t="shared" si="1"/>
        <v>----</v>
      </c>
    </row>
    <row r="12" spans="1:10">
      <c r="A12" s="102"/>
      <c r="B12" s="103"/>
      <c r="C12" s="87"/>
      <c r="D12" s="466"/>
      <c r="E12" s="473"/>
      <c r="F12" s="472" t="str">
        <f t="shared" si="2"/>
        <v>----</v>
      </c>
      <c r="G12" s="473"/>
      <c r="H12" s="472" t="str">
        <f t="shared" si="0"/>
        <v>----</v>
      </c>
      <c r="I12" s="486"/>
      <c r="J12" s="83" t="str">
        <f t="shared" si="1"/>
        <v>----</v>
      </c>
    </row>
    <row r="13" spans="1:10">
      <c r="A13" s="102"/>
      <c r="B13" s="103"/>
      <c r="C13" s="87"/>
      <c r="D13" s="466"/>
      <c r="E13" s="473"/>
      <c r="F13" s="472" t="str">
        <f t="shared" si="2"/>
        <v>----</v>
      </c>
      <c r="G13" s="473"/>
      <c r="H13" s="472" t="str">
        <f t="shared" si="0"/>
        <v>----</v>
      </c>
      <c r="I13" s="486"/>
      <c r="J13" s="83" t="str">
        <f t="shared" si="1"/>
        <v>----</v>
      </c>
    </row>
    <row r="14" spans="1:10">
      <c r="A14" s="102"/>
      <c r="B14" s="103"/>
      <c r="C14" s="87"/>
      <c r="D14" s="466"/>
      <c r="E14" s="473"/>
      <c r="F14" s="472" t="str">
        <f t="shared" si="2"/>
        <v>----</v>
      </c>
      <c r="G14" s="473"/>
      <c r="H14" s="472" t="str">
        <f t="shared" si="0"/>
        <v>----</v>
      </c>
      <c r="I14" s="486"/>
      <c r="J14" s="83" t="str">
        <f t="shared" si="1"/>
        <v>----</v>
      </c>
    </row>
    <row r="15" spans="1:10">
      <c r="A15" s="102"/>
      <c r="B15" s="103"/>
      <c r="C15" s="87"/>
      <c r="D15" s="466"/>
      <c r="E15" s="473"/>
      <c r="F15" s="472" t="str">
        <f t="shared" si="2"/>
        <v>----</v>
      </c>
      <c r="G15" s="473"/>
      <c r="H15" s="472" t="str">
        <f t="shared" si="0"/>
        <v>----</v>
      </c>
      <c r="I15" s="486"/>
      <c r="J15" s="83" t="str">
        <f t="shared" si="1"/>
        <v>----</v>
      </c>
    </row>
    <row r="16" spans="1:10">
      <c r="A16" s="102"/>
      <c r="B16" s="103"/>
      <c r="C16" s="87"/>
      <c r="D16" s="466"/>
      <c r="E16" s="473"/>
      <c r="F16" s="472" t="str">
        <f t="shared" si="2"/>
        <v>----</v>
      </c>
      <c r="G16" s="473"/>
      <c r="H16" s="472" t="str">
        <f t="shared" si="0"/>
        <v>----</v>
      </c>
      <c r="I16" s="486"/>
      <c r="J16" s="83" t="str">
        <f t="shared" si="1"/>
        <v>----</v>
      </c>
    </row>
    <row r="17" spans="1:10">
      <c r="A17" s="102"/>
      <c r="B17" s="103"/>
      <c r="C17" s="87"/>
      <c r="D17" s="466"/>
      <c r="E17" s="473"/>
      <c r="F17" s="472" t="str">
        <f t="shared" si="2"/>
        <v>----</v>
      </c>
      <c r="G17" s="473"/>
      <c r="H17" s="472" t="str">
        <f t="shared" si="0"/>
        <v>----</v>
      </c>
      <c r="I17" s="486"/>
      <c r="J17" s="83" t="str">
        <f t="shared" si="1"/>
        <v>----</v>
      </c>
    </row>
    <row r="18" spans="1:10">
      <c r="A18" s="102"/>
      <c r="B18" s="103"/>
      <c r="C18" s="87"/>
      <c r="D18" s="466"/>
      <c r="E18" s="473"/>
      <c r="F18" s="472" t="str">
        <f t="shared" si="2"/>
        <v>----</v>
      </c>
      <c r="G18" s="473"/>
      <c r="H18" s="472" t="str">
        <f t="shared" si="0"/>
        <v>----</v>
      </c>
      <c r="I18" s="486"/>
      <c r="J18" s="83" t="str">
        <f t="shared" si="1"/>
        <v>----</v>
      </c>
    </row>
    <row r="19" spans="1:10">
      <c r="A19" s="102"/>
      <c r="B19" s="103"/>
      <c r="C19" s="87"/>
      <c r="D19" s="466"/>
      <c r="E19" s="473"/>
      <c r="F19" s="472" t="str">
        <f t="shared" si="2"/>
        <v>----</v>
      </c>
      <c r="G19" s="473"/>
      <c r="H19" s="472" t="str">
        <f t="shared" si="0"/>
        <v>----</v>
      </c>
      <c r="I19" s="486"/>
      <c r="J19" s="83" t="str">
        <f t="shared" si="1"/>
        <v>----</v>
      </c>
    </row>
    <row r="20" spans="1:10">
      <c r="A20" s="102"/>
      <c r="B20" s="103"/>
      <c r="C20" s="87"/>
      <c r="D20" s="466"/>
      <c r="E20" s="473"/>
      <c r="F20" s="472" t="str">
        <f t="shared" si="2"/>
        <v>----</v>
      </c>
      <c r="G20" s="473"/>
      <c r="H20" s="472" t="str">
        <f t="shared" si="0"/>
        <v>----</v>
      </c>
      <c r="I20" s="486"/>
      <c r="J20" s="83" t="str">
        <f t="shared" si="1"/>
        <v>----</v>
      </c>
    </row>
    <row r="21" spans="1:10">
      <c r="A21" s="102"/>
      <c r="B21" s="103"/>
      <c r="C21" s="87"/>
      <c r="D21" s="466"/>
      <c r="E21" s="473"/>
      <c r="F21" s="472" t="str">
        <f t="shared" si="2"/>
        <v>----</v>
      </c>
      <c r="G21" s="473"/>
      <c r="H21" s="472" t="str">
        <f t="shared" si="0"/>
        <v>----</v>
      </c>
      <c r="I21" s="486"/>
      <c r="J21" s="83" t="str">
        <f t="shared" si="1"/>
        <v>----</v>
      </c>
    </row>
    <row r="22" spans="1:10">
      <c r="A22" s="102"/>
      <c r="B22" s="103"/>
      <c r="C22" s="87"/>
      <c r="D22" s="466"/>
      <c r="E22" s="473"/>
      <c r="F22" s="472" t="str">
        <f t="shared" si="2"/>
        <v>----</v>
      </c>
      <c r="G22" s="473"/>
      <c r="H22" s="472" t="str">
        <f t="shared" si="0"/>
        <v>----</v>
      </c>
      <c r="I22" s="486"/>
      <c r="J22" s="83" t="str">
        <f t="shared" si="1"/>
        <v>----</v>
      </c>
    </row>
    <row r="23" spans="1:10">
      <c r="A23" s="116"/>
      <c r="B23" s="117"/>
      <c r="C23" s="118"/>
      <c r="D23" s="467"/>
      <c r="E23" s="474"/>
      <c r="F23" s="472" t="str">
        <f t="shared" si="2"/>
        <v>----</v>
      </c>
      <c r="G23" s="474"/>
      <c r="H23" s="472" t="str">
        <f t="shared" si="0"/>
        <v>----</v>
      </c>
      <c r="I23" s="488"/>
      <c r="J23" s="83" t="str">
        <f t="shared" si="1"/>
        <v>----</v>
      </c>
    </row>
    <row r="24" spans="1:10" ht="15.75" thickBot="1">
      <c r="A24" s="74"/>
      <c r="B24" s="75"/>
      <c r="C24" s="76"/>
      <c r="D24" s="430"/>
      <c r="E24" s="475"/>
      <c r="F24" s="476" t="str">
        <f t="shared" si="2"/>
        <v>----</v>
      </c>
      <c r="G24" s="475"/>
      <c r="H24" s="476" t="str">
        <f t="shared" si="0"/>
        <v>----</v>
      </c>
      <c r="I24" s="481"/>
      <c r="J24" s="77" t="str">
        <f t="shared" si="1"/>
        <v>----</v>
      </c>
    </row>
    <row r="25" spans="1:10" ht="15.75" thickBot="1">
      <c r="A25" s="27"/>
      <c r="B25" s="27"/>
      <c r="C25" s="28"/>
      <c r="D25" s="28"/>
      <c r="E25" s="439"/>
      <c r="F25" s="441">
        <f>SUM(F4:F24)</f>
        <v>27032.339999999909</v>
      </c>
      <c r="G25" s="439"/>
      <c r="H25" s="441">
        <f>SUM(H4:H24)</f>
        <v>0</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315C0-D967-41B5-BD3A-B2D38F9A5201}">
  <dimension ref="A1:K26"/>
  <sheetViews>
    <sheetView workbookViewId="0">
      <selection activeCell="K13" sqref="K13"/>
    </sheetView>
  </sheetViews>
  <sheetFormatPr defaultRowHeight="15"/>
  <cols>
    <col min="2" max="2" width="23.7109375" bestFit="1" customWidth="1"/>
    <col min="3" max="3" width="10.7109375" bestFit="1" customWidth="1"/>
    <col min="4" max="4" width="13.28515625" customWidth="1"/>
    <col min="5" max="5" width="9.5703125" style="432" bestFit="1" customWidth="1"/>
    <col min="6" max="6" width="10.85546875" style="432" customWidth="1"/>
    <col min="7" max="7" width="9.5703125" style="432" bestFit="1" customWidth="1"/>
    <col min="8" max="8" width="10.85546875" style="432" customWidth="1"/>
    <col min="9" max="9" width="9.5703125" bestFit="1" customWidth="1"/>
    <col min="10" max="10" width="10.85546875" customWidth="1"/>
  </cols>
  <sheetData>
    <row r="1" spans="1:11" ht="15.75" thickBot="1">
      <c r="A1" s="952" t="s">
        <v>230</v>
      </c>
      <c r="B1" s="953"/>
      <c r="C1" s="953"/>
      <c r="D1" s="953"/>
      <c r="E1" s="953"/>
      <c r="F1" s="953"/>
      <c r="G1" s="953"/>
      <c r="H1" s="953"/>
      <c r="I1" s="953"/>
      <c r="J1" s="954"/>
    </row>
    <row r="2" spans="1:11" s="432" customFormat="1">
      <c r="A2" s="959" t="s">
        <v>110</v>
      </c>
      <c r="B2" s="961" t="s">
        <v>111</v>
      </c>
      <c r="C2" s="961" t="s">
        <v>112</v>
      </c>
      <c r="D2" s="963" t="s">
        <v>120</v>
      </c>
      <c r="E2" s="957" t="s">
        <v>701</v>
      </c>
      <c r="F2" s="958"/>
      <c r="G2" s="957" t="s">
        <v>702</v>
      </c>
      <c r="H2" s="958"/>
      <c r="I2" s="932" t="s">
        <v>796</v>
      </c>
      <c r="J2" s="933"/>
    </row>
    <row r="3" spans="1:11" ht="57.75" thickBot="1">
      <c r="A3" s="960"/>
      <c r="B3" s="962"/>
      <c r="C3" s="962"/>
      <c r="D3" s="964"/>
      <c r="E3" s="460" t="s">
        <v>121</v>
      </c>
      <c r="F3" s="468" t="s">
        <v>704</v>
      </c>
      <c r="G3" s="460" t="s">
        <v>121</v>
      </c>
      <c r="H3" s="468" t="s">
        <v>704</v>
      </c>
      <c r="I3" s="478" t="s">
        <v>121</v>
      </c>
      <c r="J3" s="25" t="s">
        <v>704</v>
      </c>
    </row>
    <row r="4" spans="1:11">
      <c r="A4" s="70">
        <v>43942</v>
      </c>
      <c r="B4" s="71" t="s">
        <v>292</v>
      </c>
      <c r="C4" s="72">
        <v>233893.7</v>
      </c>
      <c r="D4" s="530">
        <f>C4</f>
        <v>233893.7</v>
      </c>
      <c r="E4" s="540">
        <v>237080.75</v>
      </c>
      <c r="F4" s="470">
        <f>IF(ISBLANK(E4),"----",E4-$D4)</f>
        <v>3187.0499999999884</v>
      </c>
      <c r="G4" s="540" t="s">
        <v>703</v>
      </c>
      <c r="H4" s="470" t="str">
        <f t="shared" ref="H4:H25" si="0">IF(OR(G4="Complete",ISBLANK(G4)),"----",G4-$D4)</f>
        <v>----</v>
      </c>
      <c r="I4" s="535" t="s">
        <v>703</v>
      </c>
      <c r="J4" s="73" t="str">
        <f t="shared" ref="J4:J25" si="1">IF(OR(I4="Complete",ISBLANK(I4)),"----",I4-$D4)</f>
        <v>----</v>
      </c>
    </row>
    <row r="5" spans="1:11">
      <c r="A5" s="88">
        <v>43998</v>
      </c>
      <c r="B5" s="101" t="s">
        <v>293</v>
      </c>
      <c r="C5" s="82">
        <v>150524.9</v>
      </c>
      <c r="D5" s="531">
        <f>C5</f>
        <v>150524.9</v>
      </c>
      <c r="E5" s="541">
        <v>152134.9</v>
      </c>
      <c r="F5" s="472">
        <f t="shared" ref="F5:F25" si="2">IF(ISBLANK(E5),"----",E5-$D5)</f>
        <v>1610</v>
      </c>
      <c r="G5" s="541" t="s">
        <v>703</v>
      </c>
      <c r="H5" s="472" t="str">
        <f t="shared" si="0"/>
        <v>----</v>
      </c>
      <c r="I5" s="536" t="s">
        <v>703</v>
      </c>
      <c r="J5" s="83" t="str">
        <f t="shared" si="1"/>
        <v>----</v>
      </c>
    </row>
    <row r="6" spans="1:11">
      <c r="A6" s="102">
        <v>44153</v>
      </c>
      <c r="B6" s="103" t="s">
        <v>330</v>
      </c>
      <c r="C6" s="87">
        <v>698479.37</v>
      </c>
      <c r="D6" s="532">
        <v>343449.37</v>
      </c>
      <c r="E6" s="542">
        <v>343235.76</v>
      </c>
      <c r="F6" s="472">
        <f t="shared" si="2"/>
        <v>-213.60999999998603</v>
      </c>
      <c r="G6" s="542" t="s">
        <v>703</v>
      </c>
      <c r="H6" s="472" t="str">
        <f t="shared" si="0"/>
        <v>----</v>
      </c>
      <c r="I6" s="537" t="s">
        <v>703</v>
      </c>
      <c r="J6" s="83" t="str">
        <f t="shared" si="1"/>
        <v>----</v>
      </c>
    </row>
    <row r="7" spans="1:11">
      <c r="A7" s="102">
        <v>44362</v>
      </c>
      <c r="B7" s="103" t="s">
        <v>431</v>
      </c>
      <c r="C7" s="87">
        <v>488462</v>
      </c>
      <c r="D7" s="532">
        <f>C7</f>
        <v>488462</v>
      </c>
      <c r="E7" s="542">
        <v>487394.23</v>
      </c>
      <c r="F7" s="472">
        <f t="shared" si="2"/>
        <v>-1067.7700000000186</v>
      </c>
      <c r="G7" s="542" t="s">
        <v>703</v>
      </c>
      <c r="H7" s="472" t="str">
        <f t="shared" si="0"/>
        <v>----</v>
      </c>
      <c r="I7" s="537" t="s">
        <v>703</v>
      </c>
      <c r="J7" s="83" t="str">
        <f t="shared" si="1"/>
        <v>----</v>
      </c>
    </row>
    <row r="8" spans="1:11">
      <c r="A8" s="102">
        <v>44915</v>
      </c>
      <c r="B8" s="103" t="s">
        <v>608</v>
      </c>
      <c r="C8" s="87">
        <v>264878</v>
      </c>
      <c r="D8" s="532">
        <v>264878</v>
      </c>
      <c r="E8" s="542"/>
      <c r="F8" s="472" t="str">
        <f t="shared" si="2"/>
        <v>----</v>
      </c>
      <c r="G8" s="542">
        <v>258983.85</v>
      </c>
      <c r="H8" s="472">
        <f t="shared" si="0"/>
        <v>-5894.1499999999942</v>
      </c>
      <c r="I8" s="537" t="s">
        <v>703</v>
      </c>
      <c r="J8" s="83" t="str">
        <f t="shared" si="1"/>
        <v>----</v>
      </c>
    </row>
    <row r="9" spans="1:11">
      <c r="A9" s="102">
        <v>44915</v>
      </c>
      <c r="B9" s="103" t="s">
        <v>609</v>
      </c>
      <c r="C9" s="87">
        <v>181068</v>
      </c>
      <c r="D9" s="532">
        <v>181068</v>
      </c>
      <c r="E9" s="542"/>
      <c r="F9" s="472" t="str">
        <f t="shared" si="2"/>
        <v>----</v>
      </c>
      <c r="G9" s="542">
        <v>180121.60000000001</v>
      </c>
      <c r="H9" s="472">
        <f t="shared" si="0"/>
        <v>-946.39999999999418</v>
      </c>
      <c r="I9" s="537" t="s">
        <v>703</v>
      </c>
      <c r="J9" s="83" t="str">
        <f t="shared" si="1"/>
        <v>----</v>
      </c>
    </row>
    <row r="10" spans="1:11">
      <c r="A10" s="102">
        <v>44915</v>
      </c>
      <c r="B10" s="103" t="s">
        <v>610</v>
      </c>
      <c r="C10" s="87">
        <v>156721.9</v>
      </c>
      <c r="D10" s="532">
        <f>31344.38+125377.52</f>
        <v>156721.9</v>
      </c>
      <c r="E10" s="542"/>
      <c r="F10" s="472" t="str">
        <f t="shared" si="2"/>
        <v>----</v>
      </c>
      <c r="G10" s="542">
        <v>154528.10999999999</v>
      </c>
      <c r="H10" s="472">
        <f t="shared" si="0"/>
        <v>-2193.7900000000081</v>
      </c>
      <c r="I10" s="537" t="s">
        <v>703</v>
      </c>
      <c r="J10" s="83" t="str">
        <f t="shared" si="1"/>
        <v>----</v>
      </c>
    </row>
    <row r="11" spans="1:11">
      <c r="A11" s="102">
        <v>44915</v>
      </c>
      <c r="B11" s="103" t="s">
        <v>611</v>
      </c>
      <c r="C11" s="87">
        <v>170342</v>
      </c>
      <c r="D11" s="532">
        <f>34068.4+136273.6</f>
        <v>170342</v>
      </c>
      <c r="E11" s="542"/>
      <c r="F11" s="472" t="str">
        <f t="shared" si="2"/>
        <v>----</v>
      </c>
      <c r="G11" s="542">
        <v>177436.6</v>
      </c>
      <c r="H11" s="472">
        <f t="shared" si="0"/>
        <v>7094.6000000000058</v>
      </c>
      <c r="I11" s="537" t="s">
        <v>703</v>
      </c>
      <c r="J11" s="83" t="str">
        <f t="shared" si="1"/>
        <v>----</v>
      </c>
    </row>
    <row r="12" spans="1:11">
      <c r="A12" s="102">
        <v>44915</v>
      </c>
      <c r="B12" s="103" t="s">
        <v>612</v>
      </c>
      <c r="C12" s="87">
        <v>370578</v>
      </c>
      <c r="D12" s="532">
        <f>74115.6+296462.4</f>
        <v>370578</v>
      </c>
      <c r="E12" s="542"/>
      <c r="F12" s="472" t="str">
        <f t="shared" si="2"/>
        <v>----</v>
      </c>
      <c r="G12" s="542">
        <v>367492.5</v>
      </c>
      <c r="H12" s="472">
        <f t="shared" si="0"/>
        <v>-3085.5</v>
      </c>
      <c r="I12" s="537" t="s">
        <v>703</v>
      </c>
      <c r="J12" s="83" t="str">
        <f t="shared" si="1"/>
        <v>----</v>
      </c>
      <c r="K12" t="s">
        <v>759</v>
      </c>
    </row>
    <row r="13" spans="1:11">
      <c r="A13" s="102">
        <v>44915</v>
      </c>
      <c r="B13" s="103" t="s">
        <v>613</v>
      </c>
      <c r="C13" s="87">
        <v>268230.84999999998</v>
      </c>
      <c r="D13" s="532">
        <f>C13</f>
        <v>268230.84999999998</v>
      </c>
      <c r="E13" s="542"/>
      <c r="F13" s="472" t="str">
        <f t="shared" si="2"/>
        <v>----</v>
      </c>
      <c r="G13" s="542">
        <v>271070.62</v>
      </c>
      <c r="H13" s="472">
        <f t="shared" si="0"/>
        <v>2839.7700000000186</v>
      </c>
      <c r="I13" s="537"/>
      <c r="J13" s="83" t="str">
        <f t="shared" si="1"/>
        <v>----</v>
      </c>
    </row>
    <row r="14" spans="1:11">
      <c r="A14" s="102"/>
      <c r="B14" s="103"/>
      <c r="C14" s="87"/>
      <c r="D14" s="532"/>
      <c r="E14" s="542"/>
      <c r="F14" s="472" t="str">
        <f t="shared" si="2"/>
        <v>----</v>
      </c>
      <c r="G14" s="542"/>
      <c r="H14" s="472" t="str">
        <f t="shared" si="0"/>
        <v>----</v>
      </c>
      <c r="I14" s="537"/>
      <c r="J14" s="83" t="str">
        <f t="shared" si="1"/>
        <v>----</v>
      </c>
    </row>
    <row r="15" spans="1:11">
      <c r="A15" s="102"/>
      <c r="B15" s="103"/>
      <c r="C15" s="87"/>
      <c r="D15" s="532"/>
      <c r="E15" s="542"/>
      <c r="F15" s="472" t="str">
        <f t="shared" si="2"/>
        <v>----</v>
      </c>
      <c r="G15" s="542"/>
      <c r="H15" s="472" t="str">
        <f t="shared" si="0"/>
        <v>----</v>
      </c>
      <c r="I15" s="537"/>
      <c r="J15" s="83" t="str">
        <f t="shared" si="1"/>
        <v>----</v>
      </c>
    </row>
    <row r="16" spans="1:11">
      <c r="A16" s="102"/>
      <c r="B16" s="103"/>
      <c r="C16" s="87"/>
      <c r="D16" s="532"/>
      <c r="E16" s="542"/>
      <c r="F16" s="472" t="str">
        <f t="shared" si="2"/>
        <v>----</v>
      </c>
      <c r="G16" s="542"/>
      <c r="H16" s="472" t="str">
        <f t="shared" si="0"/>
        <v>----</v>
      </c>
      <c r="I16" s="537"/>
      <c r="J16" s="83" t="str">
        <f t="shared" si="1"/>
        <v>----</v>
      </c>
    </row>
    <row r="17" spans="1:10">
      <c r="A17" s="102"/>
      <c r="B17" s="103"/>
      <c r="C17" s="87"/>
      <c r="D17" s="532"/>
      <c r="E17" s="542"/>
      <c r="F17" s="472" t="str">
        <f t="shared" si="2"/>
        <v>----</v>
      </c>
      <c r="G17" s="542"/>
      <c r="H17" s="472" t="str">
        <f t="shared" si="0"/>
        <v>----</v>
      </c>
      <c r="I17" s="537"/>
      <c r="J17" s="83" t="str">
        <f t="shared" si="1"/>
        <v>----</v>
      </c>
    </row>
    <row r="18" spans="1:10">
      <c r="A18" s="102"/>
      <c r="B18" s="103"/>
      <c r="C18" s="87"/>
      <c r="D18" s="532"/>
      <c r="E18" s="542"/>
      <c r="F18" s="472" t="str">
        <f t="shared" si="2"/>
        <v>----</v>
      </c>
      <c r="G18" s="542"/>
      <c r="H18" s="472" t="str">
        <f t="shared" si="0"/>
        <v>----</v>
      </c>
      <c r="I18" s="537"/>
      <c r="J18" s="83" t="str">
        <f t="shared" si="1"/>
        <v>----</v>
      </c>
    </row>
    <row r="19" spans="1:10">
      <c r="A19" s="102"/>
      <c r="B19" s="103"/>
      <c r="C19" s="87"/>
      <c r="D19" s="532"/>
      <c r="E19" s="542"/>
      <c r="F19" s="472" t="str">
        <f t="shared" si="2"/>
        <v>----</v>
      </c>
      <c r="G19" s="542"/>
      <c r="H19" s="472" t="str">
        <f t="shared" si="0"/>
        <v>----</v>
      </c>
      <c r="I19" s="537"/>
      <c r="J19" s="83" t="str">
        <f t="shared" si="1"/>
        <v>----</v>
      </c>
    </row>
    <row r="20" spans="1:10">
      <c r="A20" s="102"/>
      <c r="B20" s="103"/>
      <c r="C20" s="87"/>
      <c r="D20" s="532"/>
      <c r="E20" s="542"/>
      <c r="F20" s="472" t="str">
        <f t="shared" si="2"/>
        <v>----</v>
      </c>
      <c r="G20" s="542"/>
      <c r="H20" s="472" t="str">
        <f t="shared" si="0"/>
        <v>----</v>
      </c>
      <c r="I20" s="537"/>
      <c r="J20" s="83" t="str">
        <f t="shared" si="1"/>
        <v>----</v>
      </c>
    </row>
    <row r="21" spans="1:10">
      <c r="A21" s="102"/>
      <c r="B21" s="103"/>
      <c r="C21" s="87"/>
      <c r="D21" s="532"/>
      <c r="E21" s="542"/>
      <c r="F21" s="472" t="str">
        <f t="shared" si="2"/>
        <v>----</v>
      </c>
      <c r="G21" s="542"/>
      <c r="H21" s="472" t="str">
        <f t="shared" si="0"/>
        <v>----</v>
      </c>
      <c r="I21" s="537"/>
      <c r="J21" s="83" t="str">
        <f t="shared" si="1"/>
        <v>----</v>
      </c>
    </row>
    <row r="22" spans="1:10">
      <c r="A22" s="102"/>
      <c r="B22" s="103"/>
      <c r="C22" s="87"/>
      <c r="D22" s="532"/>
      <c r="E22" s="542"/>
      <c r="F22" s="472" t="str">
        <f t="shared" si="2"/>
        <v>----</v>
      </c>
      <c r="G22" s="542"/>
      <c r="H22" s="472" t="str">
        <f t="shared" si="0"/>
        <v>----</v>
      </c>
      <c r="I22" s="537"/>
      <c r="J22" s="83" t="str">
        <f t="shared" si="1"/>
        <v>----</v>
      </c>
    </row>
    <row r="23" spans="1:10">
      <c r="A23" s="102"/>
      <c r="B23" s="103"/>
      <c r="C23" s="87"/>
      <c r="D23" s="532"/>
      <c r="E23" s="542"/>
      <c r="F23" s="472" t="str">
        <f t="shared" si="2"/>
        <v>----</v>
      </c>
      <c r="G23" s="542"/>
      <c r="H23" s="472" t="str">
        <f t="shared" si="0"/>
        <v>----</v>
      </c>
      <c r="I23" s="537"/>
      <c r="J23" s="83" t="str">
        <f t="shared" si="1"/>
        <v>----</v>
      </c>
    </row>
    <row r="24" spans="1:10">
      <c r="A24" s="116"/>
      <c r="B24" s="117"/>
      <c r="C24" s="118"/>
      <c r="D24" s="533"/>
      <c r="E24" s="543"/>
      <c r="F24" s="472" t="str">
        <f t="shared" si="2"/>
        <v>----</v>
      </c>
      <c r="G24" s="543"/>
      <c r="H24" s="472" t="str">
        <f t="shared" si="0"/>
        <v>----</v>
      </c>
      <c r="I24" s="538"/>
      <c r="J24" s="83" t="str">
        <f t="shared" si="1"/>
        <v>----</v>
      </c>
    </row>
    <row r="25" spans="1:10" ht="15.75" thickBot="1">
      <c r="A25" s="74"/>
      <c r="B25" s="75"/>
      <c r="C25" s="76"/>
      <c r="D25" s="534"/>
      <c r="E25" s="544"/>
      <c r="F25" s="476" t="str">
        <f t="shared" si="2"/>
        <v>----</v>
      </c>
      <c r="G25" s="544"/>
      <c r="H25" s="476" t="str">
        <f t="shared" si="0"/>
        <v>----</v>
      </c>
      <c r="I25" s="539"/>
      <c r="J25" s="77" t="str">
        <f t="shared" si="1"/>
        <v>----</v>
      </c>
    </row>
    <row r="26" spans="1:10" ht="15.75" thickBot="1">
      <c r="A26" s="27"/>
      <c r="B26" s="27"/>
      <c r="C26" s="28"/>
      <c r="D26" s="28"/>
      <c r="E26" s="439"/>
      <c r="F26" s="441">
        <f>SUM(F4:F25)</f>
        <v>3515.6699999999837</v>
      </c>
      <c r="G26" s="439"/>
      <c r="H26" s="441">
        <f>SUM(H4:H25)</f>
        <v>-2185.4699999999721</v>
      </c>
      <c r="I26" s="28"/>
      <c r="J26" s="69">
        <f>SUM(J4:J25)</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D949-BB58-4197-A536-6D4CD49837BF}">
  <dimension ref="A1:L23"/>
  <sheetViews>
    <sheetView workbookViewId="0">
      <selection activeCell="D7" sqref="D7"/>
    </sheetView>
  </sheetViews>
  <sheetFormatPr defaultRowHeight="15"/>
  <cols>
    <col min="2" max="2" width="22.5703125" bestFit="1" customWidth="1"/>
    <col min="3" max="3" width="12" bestFit="1" customWidth="1"/>
    <col min="4" max="4" width="12.5703125" customWidth="1"/>
    <col min="5" max="8" width="9.140625" style="432"/>
    <col min="9" max="9" width="9.5703125" bestFit="1" customWidth="1"/>
    <col min="10" max="10" width="10.7109375" bestFit="1" customWidth="1"/>
    <col min="12" max="12" width="11.140625" bestFit="1" customWidth="1"/>
  </cols>
  <sheetData>
    <row r="1" spans="1:12" ht="15.75" thickBot="1">
      <c r="A1" s="952" t="s">
        <v>260</v>
      </c>
      <c r="B1" s="953"/>
      <c r="C1" s="953"/>
      <c r="D1" s="953"/>
      <c r="E1" s="953"/>
      <c r="F1" s="953"/>
      <c r="G1" s="953"/>
      <c r="H1" s="953"/>
      <c r="I1" s="953"/>
      <c r="J1" s="954"/>
    </row>
    <row r="2" spans="1:12" s="432" customFormat="1">
      <c r="A2" s="959" t="s">
        <v>110</v>
      </c>
      <c r="B2" s="961" t="s">
        <v>111</v>
      </c>
      <c r="C2" s="961" t="s">
        <v>112</v>
      </c>
      <c r="D2" s="963" t="s">
        <v>120</v>
      </c>
      <c r="E2" s="957" t="s">
        <v>701</v>
      </c>
      <c r="F2" s="958"/>
      <c r="G2" s="957" t="s">
        <v>702</v>
      </c>
      <c r="H2" s="958"/>
      <c r="I2" s="932" t="s">
        <v>796</v>
      </c>
      <c r="J2" s="933"/>
    </row>
    <row r="3" spans="1:12" ht="69" thickBot="1">
      <c r="A3" s="960"/>
      <c r="B3" s="962"/>
      <c r="C3" s="962"/>
      <c r="D3" s="964"/>
      <c r="E3" s="460" t="s">
        <v>121</v>
      </c>
      <c r="F3" s="468" t="s">
        <v>704</v>
      </c>
      <c r="G3" s="460" t="s">
        <v>121</v>
      </c>
      <c r="H3" s="468" t="s">
        <v>704</v>
      </c>
      <c r="I3" s="478" t="s">
        <v>121</v>
      </c>
      <c r="J3" s="25" t="s">
        <v>704</v>
      </c>
    </row>
    <row r="4" spans="1:12">
      <c r="A4" s="70">
        <v>44124</v>
      </c>
      <c r="B4" s="71" t="s">
        <v>312</v>
      </c>
      <c r="C4" s="781">
        <v>1245346.1399999999</v>
      </c>
      <c r="D4" s="787">
        <v>835696.13</v>
      </c>
      <c r="E4" s="794"/>
      <c r="F4" s="803" t="str">
        <f>IF(ISBLANK(E4),"----",E4-$D4)</f>
        <v>----</v>
      </c>
      <c r="G4" s="794"/>
      <c r="H4" s="803" t="str">
        <f>IF(OR(G4="Complete",ISBLANK(G4)),"----",G4-$D4)</f>
        <v>----</v>
      </c>
      <c r="I4" s="791">
        <f>1383409.18-L4</f>
        <v>973759.17999999993</v>
      </c>
      <c r="J4" s="804">
        <f>IF(OR(I4="Complete",ISBLANK(I4)),"----",I4-$D4)</f>
        <v>138063.04999999993</v>
      </c>
      <c r="K4" t="s">
        <v>422</v>
      </c>
      <c r="L4" s="719">
        <v>409650</v>
      </c>
    </row>
    <row r="5" spans="1:12">
      <c r="A5" s="88">
        <v>45489</v>
      </c>
      <c r="B5" s="448" t="s">
        <v>763</v>
      </c>
      <c r="C5" s="784">
        <v>1862765.5</v>
      </c>
      <c r="D5" s="788">
        <f>C5</f>
        <v>1862765.5</v>
      </c>
      <c r="E5" s="795"/>
      <c r="F5" s="807" t="str">
        <f t="shared" ref="F5:F22" si="0">IF(ISBLANK(E5),"----",E5-$D5)</f>
        <v>----</v>
      </c>
      <c r="G5" s="795"/>
      <c r="H5" s="807" t="str">
        <f>IF(OR(G5="Complete",ISBLANK(G5)),"----",G5-$D5)</f>
        <v>----</v>
      </c>
      <c r="I5" s="792"/>
      <c r="J5" s="808" t="str">
        <f>IF(OR(I5="Complete",ISBLANK(I5)),"----",I5-$D5)</f>
        <v>----</v>
      </c>
    </row>
    <row r="6" spans="1:12" s="432" customFormat="1">
      <c r="A6" s="449">
        <v>45952</v>
      </c>
      <c r="B6" s="450" t="s">
        <v>907</v>
      </c>
      <c r="C6" s="770">
        <v>913165.05</v>
      </c>
      <c r="D6" s="729">
        <f>C6</f>
        <v>913165.05</v>
      </c>
      <c r="E6" s="739"/>
      <c r="F6" s="771" t="str">
        <f t="shared" ref="F6:F20" si="1">IF(ISBLANK(E6),"----",E6-$D6)</f>
        <v>----</v>
      </c>
      <c r="G6" s="739"/>
      <c r="H6" s="771" t="str">
        <f t="shared" ref="H6:H20" si="2">IF(OR(G6="Complete",ISBLANK(G6)),"----",G6-$D6)</f>
        <v>----</v>
      </c>
      <c r="I6" s="734"/>
      <c r="J6" s="772" t="str">
        <f t="shared" ref="J6:J20" si="3">IF(OR(I6="Complete",ISBLANK(I6)),"----",I6-$D6)</f>
        <v>----</v>
      </c>
    </row>
    <row r="7" spans="1:12" s="432" customFormat="1">
      <c r="A7" s="449"/>
      <c r="B7" s="450"/>
      <c r="C7" s="770"/>
      <c r="D7" s="729"/>
      <c r="E7" s="739"/>
      <c r="F7" s="771" t="str">
        <f t="shared" si="1"/>
        <v>----</v>
      </c>
      <c r="G7" s="739"/>
      <c r="H7" s="771" t="str">
        <f t="shared" si="2"/>
        <v>----</v>
      </c>
      <c r="I7" s="734"/>
      <c r="J7" s="772" t="str">
        <f t="shared" si="3"/>
        <v>----</v>
      </c>
    </row>
    <row r="8" spans="1:12" s="432" customFormat="1">
      <c r="A8" s="449"/>
      <c r="B8" s="450"/>
      <c r="C8" s="770"/>
      <c r="D8" s="729"/>
      <c r="E8" s="739"/>
      <c r="F8" s="771" t="str">
        <f t="shared" si="1"/>
        <v>----</v>
      </c>
      <c r="G8" s="739"/>
      <c r="H8" s="771" t="str">
        <f t="shared" si="2"/>
        <v>----</v>
      </c>
      <c r="I8" s="734"/>
      <c r="J8" s="772" t="str">
        <f t="shared" si="3"/>
        <v>----</v>
      </c>
    </row>
    <row r="9" spans="1:12" s="432" customFormat="1">
      <c r="A9" s="449"/>
      <c r="B9" s="450"/>
      <c r="C9" s="770"/>
      <c r="D9" s="729"/>
      <c r="E9" s="739"/>
      <c r="F9" s="771" t="str">
        <f t="shared" si="1"/>
        <v>----</v>
      </c>
      <c r="G9" s="739"/>
      <c r="H9" s="771" t="str">
        <f t="shared" si="2"/>
        <v>----</v>
      </c>
      <c r="I9" s="734"/>
      <c r="J9" s="772" t="str">
        <f t="shared" si="3"/>
        <v>----</v>
      </c>
    </row>
    <row r="10" spans="1:12" s="432" customFormat="1">
      <c r="A10" s="449"/>
      <c r="B10" s="450"/>
      <c r="C10" s="770"/>
      <c r="D10" s="729"/>
      <c r="E10" s="739"/>
      <c r="F10" s="771" t="str">
        <f t="shared" si="1"/>
        <v>----</v>
      </c>
      <c r="G10" s="739"/>
      <c r="H10" s="771" t="str">
        <f t="shared" si="2"/>
        <v>----</v>
      </c>
      <c r="I10" s="734"/>
      <c r="J10" s="772" t="str">
        <f t="shared" si="3"/>
        <v>----</v>
      </c>
    </row>
    <row r="11" spans="1:12" s="432" customFormat="1">
      <c r="A11" s="449"/>
      <c r="B11" s="450"/>
      <c r="C11" s="770"/>
      <c r="D11" s="729"/>
      <c r="E11" s="739"/>
      <c r="F11" s="771" t="str">
        <f t="shared" si="1"/>
        <v>----</v>
      </c>
      <c r="G11" s="739"/>
      <c r="H11" s="771" t="str">
        <f t="shared" si="2"/>
        <v>----</v>
      </c>
      <c r="I11" s="734"/>
      <c r="J11" s="772" t="str">
        <f t="shared" si="3"/>
        <v>----</v>
      </c>
    </row>
    <row r="12" spans="1:12" s="432" customFormat="1">
      <c r="A12" s="449"/>
      <c r="B12" s="450"/>
      <c r="C12" s="770"/>
      <c r="D12" s="729"/>
      <c r="E12" s="739"/>
      <c r="F12" s="771" t="str">
        <f t="shared" si="1"/>
        <v>----</v>
      </c>
      <c r="G12" s="739"/>
      <c r="H12" s="771" t="str">
        <f t="shared" si="2"/>
        <v>----</v>
      </c>
      <c r="I12" s="734"/>
      <c r="J12" s="772" t="str">
        <f t="shared" si="3"/>
        <v>----</v>
      </c>
    </row>
    <row r="13" spans="1:12" s="432" customFormat="1">
      <c r="A13" s="449"/>
      <c r="B13" s="450"/>
      <c r="C13" s="770"/>
      <c r="D13" s="729"/>
      <c r="E13" s="739"/>
      <c r="F13" s="771" t="str">
        <f t="shared" si="1"/>
        <v>----</v>
      </c>
      <c r="G13" s="739"/>
      <c r="H13" s="771" t="str">
        <f t="shared" si="2"/>
        <v>----</v>
      </c>
      <c r="I13" s="734"/>
      <c r="J13" s="772" t="str">
        <f t="shared" si="3"/>
        <v>----</v>
      </c>
    </row>
    <row r="14" spans="1:12" s="432" customFormat="1">
      <c r="A14" s="449"/>
      <c r="B14" s="450"/>
      <c r="C14" s="770"/>
      <c r="D14" s="729"/>
      <c r="E14" s="739"/>
      <c r="F14" s="771" t="str">
        <f t="shared" si="1"/>
        <v>----</v>
      </c>
      <c r="G14" s="739"/>
      <c r="H14" s="771" t="str">
        <f t="shared" si="2"/>
        <v>----</v>
      </c>
      <c r="I14" s="734"/>
      <c r="J14" s="772" t="str">
        <f t="shared" si="3"/>
        <v>----</v>
      </c>
    </row>
    <row r="15" spans="1:12" s="432" customFormat="1">
      <c r="A15" s="449"/>
      <c r="B15" s="450"/>
      <c r="C15" s="770"/>
      <c r="D15" s="729"/>
      <c r="E15" s="739"/>
      <c r="F15" s="771" t="str">
        <f t="shared" si="1"/>
        <v>----</v>
      </c>
      <c r="G15" s="739"/>
      <c r="H15" s="771" t="str">
        <f t="shared" si="2"/>
        <v>----</v>
      </c>
      <c r="I15" s="734"/>
      <c r="J15" s="772" t="str">
        <f t="shared" si="3"/>
        <v>----</v>
      </c>
    </row>
    <row r="16" spans="1:12" s="432" customFormat="1">
      <c r="A16" s="449"/>
      <c r="B16" s="450"/>
      <c r="C16" s="770"/>
      <c r="D16" s="729"/>
      <c r="E16" s="739"/>
      <c r="F16" s="771" t="str">
        <f t="shared" si="1"/>
        <v>----</v>
      </c>
      <c r="G16" s="739"/>
      <c r="H16" s="771" t="str">
        <f t="shared" si="2"/>
        <v>----</v>
      </c>
      <c r="I16" s="734"/>
      <c r="J16" s="772" t="str">
        <f t="shared" si="3"/>
        <v>----</v>
      </c>
    </row>
    <row r="17" spans="1:10" s="432" customFormat="1">
      <c r="A17" s="449"/>
      <c r="B17" s="450"/>
      <c r="C17" s="770"/>
      <c r="D17" s="729"/>
      <c r="E17" s="739"/>
      <c r="F17" s="771" t="str">
        <f t="shared" si="1"/>
        <v>----</v>
      </c>
      <c r="G17" s="739"/>
      <c r="H17" s="771" t="str">
        <f t="shared" si="2"/>
        <v>----</v>
      </c>
      <c r="I17" s="734"/>
      <c r="J17" s="772" t="str">
        <f t="shared" si="3"/>
        <v>----</v>
      </c>
    </row>
    <row r="18" spans="1:10" s="432" customFormat="1">
      <c r="A18" s="449"/>
      <c r="B18" s="450"/>
      <c r="C18" s="770"/>
      <c r="D18" s="729"/>
      <c r="E18" s="739"/>
      <c r="F18" s="771" t="str">
        <f t="shared" si="1"/>
        <v>----</v>
      </c>
      <c r="G18" s="739"/>
      <c r="H18" s="771" t="str">
        <f t="shared" si="2"/>
        <v>----</v>
      </c>
      <c r="I18" s="734"/>
      <c r="J18" s="772" t="str">
        <f t="shared" si="3"/>
        <v>----</v>
      </c>
    </row>
    <row r="19" spans="1:10" s="432" customFormat="1">
      <c r="A19" s="449"/>
      <c r="B19" s="450"/>
      <c r="C19" s="770"/>
      <c r="D19" s="729"/>
      <c r="E19" s="739"/>
      <c r="F19" s="771" t="str">
        <f t="shared" si="1"/>
        <v>----</v>
      </c>
      <c r="G19" s="739"/>
      <c r="H19" s="771" t="str">
        <f t="shared" si="2"/>
        <v>----</v>
      </c>
      <c r="I19" s="734"/>
      <c r="J19" s="772" t="str">
        <f t="shared" si="3"/>
        <v>----</v>
      </c>
    </row>
    <row r="20" spans="1:10" s="432" customFormat="1">
      <c r="A20" s="449"/>
      <c r="B20" s="450"/>
      <c r="C20" s="770"/>
      <c r="D20" s="729"/>
      <c r="E20" s="739"/>
      <c r="F20" s="771" t="str">
        <f t="shared" si="1"/>
        <v>----</v>
      </c>
      <c r="G20" s="739"/>
      <c r="H20" s="771" t="str">
        <f t="shared" si="2"/>
        <v>----</v>
      </c>
      <c r="I20" s="734"/>
      <c r="J20" s="772" t="str">
        <f t="shared" si="3"/>
        <v>----</v>
      </c>
    </row>
    <row r="21" spans="1:10">
      <c r="A21" s="452"/>
      <c r="B21" s="453"/>
      <c r="C21" s="773"/>
      <c r="D21" s="789"/>
      <c r="E21" s="740"/>
      <c r="F21" s="774" t="str">
        <f t="shared" si="0"/>
        <v>----</v>
      </c>
      <c r="G21" s="740"/>
      <c r="H21" s="774" t="str">
        <f>IF(OR(G21="Complete",ISBLANK(G21)),"----",G21-$D21)</f>
        <v>----</v>
      </c>
      <c r="I21" s="735"/>
      <c r="J21" s="775" t="str">
        <f>IF(OR(I21="Complete",ISBLANK(I21)),"----",I21-$D21)</f>
        <v>----</v>
      </c>
    </row>
    <row r="22" spans="1:10" ht="15.75" thickBot="1">
      <c r="A22" s="74"/>
      <c r="B22" s="75"/>
      <c r="C22" s="783"/>
      <c r="D22" s="790"/>
      <c r="E22" s="796"/>
      <c r="F22" s="801" t="str">
        <f t="shared" si="0"/>
        <v>----</v>
      </c>
      <c r="G22" s="796"/>
      <c r="H22" s="801" t="str">
        <f>IF(OR(G22="Complete",ISBLANK(G22)),"----",G22-$D22)</f>
        <v>----</v>
      </c>
      <c r="I22" s="793"/>
      <c r="J22" s="802" t="str">
        <f>IF(OR(I22="Complete",ISBLANK(I22)),"----",I22-$D22)</f>
        <v>----</v>
      </c>
    </row>
    <row r="23" spans="1:10" ht="15.75" thickBot="1">
      <c r="A23" s="27"/>
      <c r="B23" s="27"/>
      <c r="C23" s="28"/>
      <c r="D23" s="28"/>
      <c r="E23" s="439"/>
      <c r="F23" s="441">
        <f>SUM(F4:F22)</f>
        <v>0</v>
      </c>
      <c r="G23" s="439"/>
      <c r="H23" s="441">
        <f>SUM(H4:H22)</f>
        <v>0</v>
      </c>
      <c r="I23" s="28"/>
      <c r="J23" s="69">
        <f>SUM(J4:J22)</f>
        <v>138063.04999999993</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93605-5BF8-4C2A-A9DA-2862B8EDADAD}">
  <dimension ref="A1:K39"/>
  <sheetViews>
    <sheetView workbookViewId="0">
      <selection activeCell="H23" sqref="H23"/>
    </sheetView>
  </sheetViews>
  <sheetFormatPr defaultRowHeight="15"/>
  <cols>
    <col min="2" max="2" width="23.7109375" bestFit="1" customWidth="1"/>
    <col min="3" max="3" width="12" bestFit="1" customWidth="1"/>
    <col min="4" max="4" width="12.5703125" customWidth="1"/>
    <col min="5" max="5" width="12.5703125" style="432" customWidth="1"/>
    <col min="6" max="6" width="13.28515625" style="432" customWidth="1"/>
    <col min="7" max="7" width="12" style="432" bestFit="1" customWidth="1"/>
    <col min="8" max="8" width="15.140625" style="432" customWidth="1"/>
    <col min="9" max="9" width="12" bestFit="1" customWidth="1"/>
    <col min="10" max="10" width="15.140625" customWidth="1"/>
  </cols>
  <sheetData>
    <row r="1" spans="1:10" ht="15.75" thickBot="1">
      <c r="A1" s="952" t="s">
        <v>122</v>
      </c>
      <c r="B1" s="953"/>
      <c r="C1" s="953"/>
      <c r="D1" s="953"/>
      <c r="E1" s="953"/>
      <c r="F1" s="953"/>
      <c r="G1" s="953"/>
      <c r="H1" s="953"/>
      <c r="I1" s="953"/>
      <c r="J1" s="954"/>
    </row>
    <row r="2" spans="1:10" s="432" customFormat="1">
      <c r="A2" s="959" t="s">
        <v>110</v>
      </c>
      <c r="B2" s="961" t="s">
        <v>111</v>
      </c>
      <c r="C2" s="961" t="s">
        <v>112</v>
      </c>
      <c r="D2" s="963" t="s">
        <v>247</v>
      </c>
      <c r="E2" s="957" t="s">
        <v>701</v>
      </c>
      <c r="F2" s="958"/>
      <c r="G2" s="965" t="s">
        <v>702</v>
      </c>
      <c r="H2" s="966"/>
      <c r="I2" s="955" t="s">
        <v>796</v>
      </c>
      <c r="J2" s="956"/>
    </row>
    <row r="3" spans="1:10" ht="46.5" thickBot="1">
      <c r="A3" s="960"/>
      <c r="B3" s="962"/>
      <c r="C3" s="962"/>
      <c r="D3" s="964"/>
      <c r="E3" s="460" t="s">
        <v>121</v>
      </c>
      <c r="F3" s="468" t="s">
        <v>704</v>
      </c>
      <c r="G3" s="460" t="s">
        <v>121</v>
      </c>
      <c r="H3" s="468" t="s">
        <v>704</v>
      </c>
      <c r="I3" s="478" t="s">
        <v>121</v>
      </c>
      <c r="J3" s="438" t="s">
        <v>704</v>
      </c>
    </row>
    <row r="4" spans="1:10">
      <c r="A4" s="70">
        <v>44306</v>
      </c>
      <c r="B4" s="71" t="s">
        <v>416</v>
      </c>
      <c r="C4" s="72">
        <v>544955.75</v>
      </c>
      <c r="D4" s="429">
        <f>C4</f>
        <v>544955.75</v>
      </c>
      <c r="E4" s="469">
        <v>544083.06999999995</v>
      </c>
      <c r="F4" s="470">
        <f>IF(ISBLANK(E4),"----",E4-D4)</f>
        <v>-872.68000000005122</v>
      </c>
      <c r="G4" s="461" t="s">
        <v>703</v>
      </c>
      <c r="H4" s="656" t="str">
        <f>IF(OR(G4="Complete",ISBLANK(G4)),"----",G4-$D4)</f>
        <v>----</v>
      </c>
      <c r="I4" s="654" t="s">
        <v>703</v>
      </c>
      <c r="J4" s="458" t="str">
        <f>IF(OR(I4="Complete",ISBLANK(I4)),"----",I4-$D4)</f>
        <v>----</v>
      </c>
    </row>
    <row r="5" spans="1:10">
      <c r="A5" s="88">
        <v>44880</v>
      </c>
      <c r="B5" s="101" t="s">
        <v>582</v>
      </c>
      <c r="C5" s="82">
        <v>1223831.8700000001</v>
      </c>
      <c r="D5" s="431">
        <f>C5</f>
        <v>1223831.8700000001</v>
      </c>
      <c r="E5" s="471"/>
      <c r="F5" s="472" t="str">
        <f t="shared" ref="F5:F22" si="0">IF(ISBLANK(E5),"----",E5-D5)</f>
        <v>----</v>
      </c>
      <c r="G5" s="462">
        <v>1248346.27</v>
      </c>
      <c r="H5" s="529">
        <f t="shared" ref="H5:H22" si="1">IF(OR(G5="Complete",ISBLANK(G5)),"----",G5-$D5)</f>
        <v>24514.399999999907</v>
      </c>
      <c r="I5" s="528" t="s">
        <v>703</v>
      </c>
      <c r="J5" s="456" t="str">
        <f t="shared" ref="J5:J22" si="2">IF(OR(I5="Complete",ISBLANK(I5)),"----",I5-$D5)</f>
        <v>----</v>
      </c>
    </row>
    <row r="6" spans="1:10">
      <c r="A6" s="102"/>
      <c r="B6" s="103"/>
      <c r="C6" s="87"/>
      <c r="D6" s="466"/>
      <c r="E6" s="473"/>
      <c r="F6" s="472" t="str">
        <f t="shared" si="0"/>
        <v>----</v>
      </c>
      <c r="G6" s="463"/>
      <c r="H6" s="529" t="str">
        <f t="shared" si="1"/>
        <v>----</v>
      </c>
      <c r="I6" s="495"/>
      <c r="J6" s="456" t="str">
        <f t="shared" si="2"/>
        <v>----</v>
      </c>
    </row>
    <row r="7" spans="1:10">
      <c r="A7" s="102"/>
      <c r="B7" s="103"/>
      <c r="C7" s="87"/>
      <c r="D7" s="466"/>
      <c r="E7" s="473"/>
      <c r="F7" s="472" t="str">
        <f t="shared" si="0"/>
        <v>----</v>
      </c>
      <c r="G7" s="463"/>
      <c r="H7" s="529" t="str">
        <f t="shared" si="1"/>
        <v>----</v>
      </c>
      <c r="I7" s="495"/>
      <c r="J7" s="456" t="str">
        <f t="shared" si="2"/>
        <v>----</v>
      </c>
    </row>
    <row r="8" spans="1:10">
      <c r="A8" s="102"/>
      <c r="B8" s="103"/>
      <c r="C8" s="87"/>
      <c r="D8" s="466"/>
      <c r="E8" s="473"/>
      <c r="F8" s="472" t="str">
        <f t="shared" si="0"/>
        <v>----</v>
      </c>
      <c r="G8" s="463"/>
      <c r="H8" s="529" t="str">
        <f t="shared" si="1"/>
        <v>----</v>
      </c>
      <c r="I8" s="495"/>
      <c r="J8" s="456" t="str">
        <f t="shared" si="2"/>
        <v>----</v>
      </c>
    </row>
    <row r="9" spans="1:10">
      <c r="A9" s="102"/>
      <c r="B9" s="103"/>
      <c r="C9" s="87"/>
      <c r="D9" s="466"/>
      <c r="E9" s="473"/>
      <c r="F9" s="472" t="str">
        <f t="shared" si="0"/>
        <v>----</v>
      </c>
      <c r="G9" s="463"/>
      <c r="H9" s="529" t="str">
        <f t="shared" si="1"/>
        <v>----</v>
      </c>
      <c r="I9" s="495"/>
      <c r="J9" s="456" t="str">
        <f t="shared" si="2"/>
        <v>----</v>
      </c>
    </row>
    <row r="10" spans="1:10">
      <c r="A10" s="102"/>
      <c r="B10" s="103"/>
      <c r="C10" s="87"/>
      <c r="D10" s="466"/>
      <c r="E10" s="473"/>
      <c r="F10" s="472" t="str">
        <f t="shared" si="0"/>
        <v>----</v>
      </c>
      <c r="G10" s="463"/>
      <c r="H10" s="529" t="str">
        <f t="shared" si="1"/>
        <v>----</v>
      </c>
      <c r="I10" s="495"/>
      <c r="J10" s="456" t="str">
        <f t="shared" si="2"/>
        <v>----</v>
      </c>
    </row>
    <row r="11" spans="1:10">
      <c r="A11" s="102"/>
      <c r="B11" s="103"/>
      <c r="C11" s="87"/>
      <c r="D11" s="466"/>
      <c r="E11" s="473"/>
      <c r="F11" s="472" t="str">
        <f t="shared" si="0"/>
        <v>----</v>
      </c>
      <c r="G11" s="463"/>
      <c r="H11" s="529" t="str">
        <f t="shared" si="1"/>
        <v>----</v>
      </c>
      <c r="I11" s="495"/>
      <c r="J11" s="456" t="str">
        <f t="shared" si="2"/>
        <v>----</v>
      </c>
    </row>
    <row r="12" spans="1:10">
      <c r="A12" s="102"/>
      <c r="B12" s="103"/>
      <c r="C12" s="87"/>
      <c r="D12" s="466"/>
      <c r="E12" s="473"/>
      <c r="F12" s="472" t="str">
        <f t="shared" si="0"/>
        <v>----</v>
      </c>
      <c r="G12" s="463"/>
      <c r="H12" s="529" t="str">
        <f t="shared" si="1"/>
        <v>----</v>
      </c>
      <c r="I12" s="495"/>
      <c r="J12" s="456" t="str">
        <f t="shared" si="2"/>
        <v>----</v>
      </c>
    </row>
    <row r="13" spans="1:10">
      <c r="A13" s="102"/>
      <c r="B13" s="103"/>
      <c r="C13" s="87"/>
      <c r="D13" s="466"/>
      <c r="E13" s="473"/>
      <c r="F13" s="472" t="str">
        <f t="shared" si="0"/>
        <v>----</v>
      </c>
      <c r="G13" s="463"/>
      <c r="H13" s="529" t="str">
        <f t="shared" si="1"/>
        <v>----</v>
      </c>
      <c r="I13" s="495"/>
      <c r="J13" s="456" t="str">
        <f t="shared" si="2"/>
        <v>----</v>
      </c>
    </row>
    <row r="14" spans="1:10">
      <c r="A14" s="102"/>
      <c r="B14" s="103"/>
      <c r="C14" s="87"/>
      <c r="D14" s="466"/>
      <c r="E14" s="473"/>
      <c r="F14" s="472" t="str">
        <f t="shared" si="0"/>
        <v>----</v>
      </c>
      <c r="G14" s="463"/>
      <c r="H14" s="529" t="str">
        <f t="shared" si="1"/>
        <v>----</v>
      </c>
      <c r="I14" s="495"/>
      <c r="J14" s="456" t="str">
        <f t="shared" si="2"/>
        <v>----</v>
      </c>
    </row>
    <row r="15" spans="1:10">
      <c r="A15" s="102"/>
      <c r="B15" s="103"/>
      <c r="C15" s="87"/>
      <c r="D15" s="466"/>
      <c r="E15" s="473"/>
      <c r="F15" s="472" t="str">
        <f t="shared" si="0"/>
        <v>----</v>
      </c>
      <c r="G15" s="463"/>
      <c r="H15" s="529" t="str">
        <f t="shared" si="1"/>
        <v>----</v>
      </c>
      <c r="I15" s="495"/>
      <c r="J15" s="456" t="str">
        <f t="shared" si="2"/>
        <v>----</v>
      </c>
    </row>
    <row r="16" spans="1:10">
      <c r="A16" s="102"/>
      <c r="B16" s="103"/>
      <c r="C16" s="87"/>
      <c r="D16" s="466"/>
      <c r="E16" s="473"/>
      <c r="F16" s="472" t="str">
        <f t="shared" si="0"/>
        <v>----</v>
      </c>
      <c r="G16" s="463"/>
      <c r="H16" s="529" t="str">
        <f t="shared" si="1"/>
        <v>----</v>
      </c>
      <c r="I16" s="495"/>
      <c r="J16" s="456" t="str">
        <f t="shared" si="2"/>
        <v>----</v>
      </c>
    </row>
    <row r="17" spans="1:11">
      <c r="A17" s="102"/>
      <c r="B17" s="103"/>
      <c r="C17" s="87"/>
      <c r="D17" s="466"/>
      <c r="E17" s="473"/>
      <c r="F17" s="472" t="str">
        <f t="shared" si="0"/>
        <v>----</v>
      </c>
      <c r="G17" s="463"/>
      <c r="H17" s="529" t="str">
        <f t="shared" si="1"/>
        <v>----</v>
      </c>
      <c r="I17" s="495"/>
      <c r="J17" s="456" t="str">
        <f t="shared" si="2"/>
        <v>----</v>
      </c>
    </row>
    <row r="18" spans="1:11">
      <c r="A18" s="102"/>
      <c r="B18" s="103"/>
      <c r="C18" s="87"/>
      <c r="D18" s="466"/>
      <c r="E18" s="473"/>
      <c r="F18" s="472" t="str">
        <f t="shared" si="0"/>
        <v>----</v>
      </c>
      <c r="G18" s="463"/>
      <c r="H18" s="529" t="str">
        <f t="shared" si="1"/>
        <v>----</v>
      </c>
      <c r="I18" s="495"/>
      <c r="J18" s="456" t="str">
        <f t="shared" si="2"/>
        <v>----</v>
      </c>
    </row>
    <row r="19" spans="1:11">
      <c r="A19" s="102"/>
      <c r="B19" s="103"/>
      <c r="C19" s="87"/>
      <c r="D19" s="466"/>
      <c r="E19" s="473"/>
      <c r="F19" s="472" t="str">
        <f t="shared" si="0"/>
        <v>----</v>
      </c>
      <c r="G19" s="463"/>
      <c r="H19" s="529" t="str">
        <f t="shared" si="1"/>
        <v>----</v>
      </c>
      <c r="I19" s="495"/>
      <c r="J19" s="456" t="str">
        <f t="shared" si="2"/>
        <v>----</v>
      </c>
    </row>
    <row r="20" spans="1:11">
      <c r="A20" s="102"/>
      <c r="B20" s="103"/>
      <c r="C20" s="87"/>
      <c r="D20" s="466"/>
      <c r="E20" s="473"/>
      <c r="F20" s="472" t="str">
        <f t="shared" si="0"/>
        <v>----</v>
      </c>
      <c r="G20" s="463"/>
      <c r="H20" s="529" t="str">
        <f t="shared" si="1"/>
        <v>----</v>
      </c>
      <c r="I20" s="495"/>
      <c r="J20" s="456" t="str">
        <f t="shared" si="2"/>
        <v>----</v>
      </c>
    </row>
    <row r="21" spans="1:11">
      <c r="A21" s="116"/>
      <c r="B21" s="117"/>
      <c r="C21" s="118"/>
      <c r="D21" s="467"/>
      <c r="E21" s="474"/>
      <c r="F21" s="472" t="str">
        <f t="shared" si="0"/>
        <v>----</v>
      </c>
      <c r="G21" s="464"/>
      <c r="H21" s="529" t="str">
        <f t="shared" si="1"/>
        <v>----</v>
      </c>
      <c r="I21" s="496"/>
      <c r="J21" s="456" t="str">
        <f t="shared" si="2"/>
        <v>----</v>
      </c>
    </row>
    <row r="22" spans="1:11" ht="15.75" thickBot="1">
      <c r="A22" s="74"/>
      <c r="B22" s="75"/>
      <c r="C22" s="76"/>
      <c r="D22" s="430"/>
      <c r="E22" s="475"/>
      <c r="F22" s="476" t="str">
        <f t="shared" si="0"/>
        <v>----</v>
      </c>
      <c r="G22" s="465"/>
      <c r="H22" s="657" t="str">
        <f t="shared" si="1"/>
        <v>----</v>
      </c>
      <c r="I22" s="655"/>
      <c r="J22" s="459" t="str">
        <f t="shared" si="2"/>
        <v>----</v>
      </c>
    </row>
    <row r="23" spans="1:11" ht="15.75" thickBot="1">
      <c r="A23" s="27"/>
      <c r="B23" s="27"/>
      <c r="C23" s="28"/>
      <c r="D23" s="28"/>
      <c r="E23" s="439"/>
      <c r="F23" s="441">
        <f>SUM(F4:F22)</f>
        <v>-872.68000000005122</v>
      </c>
      <c r="G23" s="439"/>
      <c r="H23" s="441">
        <f>SUM(H4:H22)</f>
        <v>24514.399999999907</v>
      </c>
      <c r="I23" s="28"/>
      <c r="J23" s="69">
        <f>SUM(J4:J22)</f>
        <v>0</v>
      </c>
    </row>
    <row r="24" spans="1:11">
      <c r="A24" s="17"/>
      <c r="B24" s="17"/>
      <c r="C24" s="18"/>
      <c r="D24" s="18"/>
      <c r="E24" s="433"/>
      <c r="F24" s="433"/>
      <c r="G24" s="433"/>
      <c r="H24" s="433"/>
      <c r="I24" s="18"/>
      <c r="J24" s="18"/>
      <c r="K24" s="17"/>
    </row>
    <row r="25" spans="1:11">
      <c r="A25" s="17"/>
      <c r="B25" s="17"/>
      <c r="C25" s="18"/>
      <c r="D25" s="18"/>
      <c r="E25" s="433"/>
      <c r="F25" s="433"/>
      <c r="G25" s="433"/>
      <c r="H25" s="433"/>
      <c r="I25" s="18"/>
      <c r="J25" s="18"/>
      <c r="K25" s="17"/>
    </row>
    <row r="26" spans="1:11">
      <c r="A26" s="17"/>
      <c r="B26" s="17"/>
      <c r="C26" s="18"/>
      <c r="D26" s="18"/>
      <c r="E26" s="433"/>
      <c r="F26" s="433"/>
      <c r="G26" s="433"/>
      <c r="H26" s="433"/>
      <c r="I26" s="18"/>
      <c r="J26" s="18"/>
      <c r="K26" s="17"/>
    </row>
    <row r="27" spans="1:11">
      <c r="A27" s="17"/>
      <c r="B27" s="17"/>
      <c r="C27" s="18"/>
      <c r="D27" s="18"/>
      <c r="E27" s="433"/>
      <c r="F27" s="433"/>
      <c r="G27" s="433"/>
      <c r="H27" s="433"/>
      <c r="I27" s="18"/>
      <c r="J27" s="18"/>
      <c r="K27" s="17"/>
    </row>
    <row r="28" spans="1:11">
      <c r="A28" s="17"/>
      <c r="B28" s="17"/>
      <c r="C28" s="18"/>
      <c r="D28" s="18"/>
      <c r="E28" s="433"/>
      <c r="F28" s="433"/>
      <c r="G28" s="433"/>
      <c r="H28" s="433"/>
      <c r="I28" s="18"/>
      <c r="J28" s="18"/>
      <c r="K28" s="17"/>
    </row>
    <row r="29" spans="1:11">
      <c r="A29" s="17"/>
      <c r="B29" s="17"/>
      <c r="C29" s="18"/>
      <c r="D29" s="18"/>
      <c r="E29" s="433"/>
      <c r="F29" s="433"/>
      <c r="G29" s="433"/>
      <c r="H29" s="433"/>
      <c r="I29" s="18"/>
      <c r="J29" s="18"/>
      <c r="K29" s="17"/>
    </row>
    <row r="30" spans="1:11">
      <c r="A30" s="17"/>
      <c r="B30" s="17"/>
      <c r="C30" s="18"/>
      <c r="D30" s="18"/>
      <c r="E30" s="433"/>
      <c r="F30" s="433"/>
      <c r="G30" s="433"/>
      <c r="H30" s="433"/>
      <c r="I30" s="18"/>
      <c r="J30" s="18"/>
      <c r="K30" s="17"/>
    </row>
    <row r="31" spans="1:11">
      <c r="A31" s="17"/>
      <c r="B31" s="17"/>
      <c r="C31" s="18"/>
      <c r="D31" s="18"/>
      <c r="E31" s="433"/>
      <c r="F31" s="433"/>
      <c r="G31" s="433"/>
      <c r="H31" s="433"/>
      <c r="I31" s="18"/>
      <c r="J31" s="18"/>
      <c r="K31" s="17"/>
    </row>
    <row r="32" spans="1:11">
      <c r="A32" s="17"/>
      <c r="B32" s="17"/>
      <c r="C32" s="18"/>
      <c r="D32" s="18"/>
      <c r="E32" s="433"/>
      <c r="F32" s="433"/>
      <c r="G32" s="433"/>
      <c r="H32" s="433"/>
      <c r="I32" s="18"/>
      <c r="J32" s="18"/>
      <c r="K32" s="17"/>
    </row>
    <row r="33" spans="1:11">
      <c r="A33" s="17"/>
      <c r="B33" s="17"/>
      <c r="C33" s="18"/>
      <c r="D33" s="18"/>
      <c r="E33" s="433"/>
      <c r="F33" s="433"/>
      <c r="G33" s="433"/>
      <c r="H33" s="433"/>
      <c r="I33" s="18"/>
      <c r="J33" s="18"/>
      <c r="K33" s="17"/>
    </row>
    <row r="34" spans="1:11">
      <c r="A34" s="17"/>
      <c r="B34" s="17"/>
      <c r="C34" s="18"/>
      <c r="D34" s="18"/>
      <c r="E34" s="433"/>
      <c r="F34" s="433"/>
      <c r="G34" s="433"/>
      <c r="H34" s="433"/>
      <c r="I34" s="18"/>
      <c r="J34" s="18"/>
      <c r="K34" s="17"/>
    </row>
    <row r="35" spans="1:11">
      <c r="A35" s="17"/>
      <c r="B35" s="17"/>
      <c r="C35" s="18"/>
      <c r="D35" s="18"/>
      <c r="E35" s="433"/>
      <c r="F35" s="433"/>
      <c r="G35" s="433"/>
      <c r="H35" s="433"/>
      <c r="I35" s="18"/>
      <c r="J35" s="18"/>
      <c r="K35" s="17"/>
    </row>
    <row r="36" spans="1:11">
      <c r="A36" s="17"/>
      <c r="B36" s="17"/>
      <c r="C36" s="18"/>
      <c r="D36" s="18"/>
      <c r="E36" s="433"/>
      <c r="F36" s="433"/>
      <c r="G36" s="433"/>
      <c r="H36" s="433"/>
      <c r="I36" s="18"/>
      <c r="J36" s="18"/>
      <c r="K36" s="17"/>
    </row>
    <row r="37" spans="1:11">
      <c r="A37" s="17"/>
      <c r="B37" s="17"/>
      <c r="C37" s="18"/>
      <c r="D37" s="18"/>
      <c r="E37" s="433"/>
      <c r="F37" s="433"/>
      <c r="G37" s="433"/>
      <c r="H37" s="433"/>
      <c r="I37" s="18"/>
      <c r="J37" s="18"/>
      <c r="K37" s="17"/>
    </row>
    <row r="38" spans="1:11">
      <c r="C38" s="19"/>
      <c r="D38" s="19"/>
      <c r="E38" s="434"/>
      <c r="F38" s="434"/>
      <c r="G38" s="434"/>
      <c r="H38" s="434"/>
      <c r="I38" s="19"/>
      <c r="J38" s="19"/>
    </row>
    <row r="39" spans="1:11">
      <c r="C39" s="19"/>
      <c r="D39" s="19"/>
      <c r="E39" s="434"/>
      <c r="F39" s="434"/>
      <c r="G39" s="434"/>
      <c r="H39" s="434"/>
      <c r="I39" s="19"/>
      <c r="J39" s="19"/>
    </row>
  </sheetData>
  <mergeCells count="8">
    <mergeCell ref="A1:J1"/>
    <mergeCell ref="I2:J2"/>
    <mergeCell ref="E2:F2"/>
    <mergeCell ref="A2:A3"/>
    <mergeCell ref="B2:B3"/>
    <mergeCell ref="C2:C3"/>
    <mergeCell ref="D2:D3"/>
    <mergeCell ref="G2:H2"/>
  </mergeCells>
  <pageMargins left="0.7" right="0.7" top="0.75" bottom="0.75" header="0.3" footer="0.3"/>
  <pageSetup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C9A17-C693-46EB-8DA1-BEA264742BCF}">
  <dimension ref="A1:K18"/>
  <sheetViews>
    <sheetView workbookViewId="0">
      <selection activeCell="A6" sqref="A6:K6"/>
    </sheetView>
  </sheetViews>
  <sheetFormatPr defaultRowHeight="15"/>
  <cols>
    <col min="2" max="2" width="18.28515625" bestFit="1" customWidth="1"/>
    <col min="3" max="3" width="12.5703125" bestFit="1" customWidth="1"/>
    <col min="4" max="4" width="11.42578125" bestFit="1" customWidth="1"/>
    <col min="5" max="8" width="9.140625" style="432"/>
    <col min="11" max="11" width="10.85546875" bestFit="1" customWidth="1"/>
  </cols>
  <sheetData>
    <row r="1" spans="1:11" ht="15.75" thickBot="1">
      <c r="A1" s="952" t="s">
        <v>261</v>
      </c>
      <c r="B1" s="953"/>
      <c r="C1" s="953"/>
      <c r="D1" s="953"/>
      <c r="E1" s="953"/>
      <c r="F1" s="953"/>
      <c r="G1" s="953"/>
      <c r="H1" s="953"/>
      <c r="I1" s="953"/>
      <c r="J1" s="954"/>
    </row>
    <row r="2" spans="1:11" s="432" customFormat="1">
      <c r="A2" s="959" t="s">
        <v>110</v>
      </c>
      <c r="B2" s="961" t="s">
        <v>111</v>
      </c>
      <c r="C2" s="961" t="s">
        <v>112</v>
      </c>
      <c r="D2" s="963" t="s">
        <v>120</v>
      </c>
      <c r="E2" s="957" t="s">
        <v>701</v>
      </c>
      <c r="F2" s="958"/>
      <c r="G2" s="957" t="s">
        <v>702</v>
      </c>
      <c r="H2" s="958"/>
      <c r="I2" s="932" t="s">
        <v>796</v>
      </c>
      <c r="J2" s="933"/>
    </row>
    <row r="3" spans="1:11" ht="69" thickBot="1">
      <c r="A3" s="960"/>
      <c r="B3" s="962"/>
      <c r="C3" s="962"/>
      <c r="D3" s="964"/>
      <c r="E3" s="460" t="s">
        <v>121</v>
      </c>
      <c r="F3" s="468" t="s">
        <v>704</v>
      </c>
      <c r="G3" s="460" t="s">
        <v>121</v>
      </c>
      <c r="H3" s="468" t="s">
        <v>704</v>
      </c>
      <c r="I3" s="478" t="s">
        <v>121</v>
      </c>
      <c r="J3" s="25" t="s">
        <v>704</v>
      </c>
    </row>
    <row r="4" spans="1:11">
      <c r="A4" s="398">
        <v>45251</v>
      </c>
      <c r="B4" s="399" t="s">
        <v>680</v>
      </c>
      <c r="C4" s="391">
        <v>480692.89</v>
      </c>
      <c r="D4" s="545">
        <f>C4</f>
        <v>480692.89</v>
      </c>
      <c r="E4" s="469"/>
      <c r="F4" s="470" t="str">
        <f>IF(ISBLANK(E4),"----",E4-$D4)</f>
        <v>----</v>
      </c>
      <c r="G4" s="469"/>
      <c r="H4" s="470" t="str">
        <f t="shared" ref="H4:H17" si="0">IF(OR(G4="Complete",ISBLANK(G4)),"----",G4-$D4)</f>
        <v>----</v>
      </c>
      <c r="I4" s="479"/>
      <c r="J4" s="73" t="str">
        <f t="shared" ref="J4:J17" si="1">IF(OR(I4="Complete",ISBLANK(I4)),"----",I4-$D4)</f>
        <v>----</v>
      </c>
    </row>
    <row r="5" spans="1:11" s="397" customFormat="1">
      <c r="A5" s="402">
        <v>45489</v>
      </c>
      <c r="B5" s="448" t="s">
        <v>764</v>
      </c>
      <c r="C5" s="374">
        <v>2088602.35</v>
      </c>
      <c r="D5" s="560">
        <f>C5-1500000</f>
        <v>588602.35000000009</v>
      </c>
      <c r="E5" s="471"/>
      <c r="F5" s="472" t="str">
        <f t="shared" ref="F5:F17" si="2">IF(ISBLANK(E5),"----",E5-$D5)</f>
        <v>----</v>
      </c>
      <c r="G5" s="471"/>
      <c r="H5" s="472" t="str">
        <f t="shared" si="0"/>
        <v>----</v>
      </c>
      <c r="I5" s="484"/>
      <c r="J5" s="401" t="str">
        <f t="shared" si="1"/>
        <v>----</v>
      </c>
      <c r="K5" s="860" t="s">
        <v>884</v>
      </c>
    </row>
    <row r="6" spans="1:11" s="397" customFormat="1">
      <c r="A6" s="402">
        <v>45734</v>
      </c>
      <c r="B6" s="697" t="s">
        <v>857</v>
      </c>
      <c r="C6" s="374">
        <f>1/2*855770.56</f>
        <v>427885.28</v>
      </c>
      <c r="D6" s="560">
        <f>C6-1/2*20000</f>
        <v>417885.28</v>
      </c>
      <c r="E6" s="471"/>
      <c r="F6" s="472" t="str">
        <f t="shared" si="2"/>
        <v>----</v>
      </c>
      <c r="G6" s="471"/>
      <c r="H6" s="472" t="str">
        <f t="shared" si="0"/>
        <v>----</v>
      </c>
      <c r="I6" s="484"/>
      <c r="J6" s="401" t="str">
        <f t="shared" si="1"/>
        <v>----</v>
      </c>
      <c r="K6" s="397" t="s">
        <v>885</v>
      </c>
    </row>
    <row r="7" spans="1:11" s="397" customFormat="1">
      <c r="A7" s="402"/>
      <c r="B7" s="403"/>
      <c r="C7" s="400"/>
      <c r="D7" s="431"/>
      <c r="E7" s="471"/>
      <c r="F7" s="472" t="str">
        <f t="shared" si="2"/>
        <v>----</v>
      </c>
      <c r="G7" s="471"/>
      <c r="H7" s="472" t="str">
        <f t="shared" si="0"/>
        <v>----</v>
      </c>
      <c r="I7" s="484"/>
      <c r="J7" s="401" t="str">
        <f t="shared" si="1"/>
        <v>----</v>
      </c>
    </row>
    <row r="8" spans="1:11" s="397" customFormat="1">
      <c r="A8" s="402"/>
      <c r="B8" s="403"/>
      <c r="C8" s="400"/>
      <c r="D8" s="431"/>
      <c r="E8" s="471"/>
      <c r="F8" s="472" t="str">
        <f t="shared" si="2"/>
        <v>----</v>
      </c>
      <c r="G8" s="471"/>
      <c r="H8" s="472" t="str">
        <f t="shared" si="0"/>
        <v>----</v>
      </c>
      <c r="I8" s="484"/>
      <c r="J8" s="401" t="str">
        <f t="shared" si="1"/>
        <v>----</v>
      </c>
    </row>
    <row r="9" spans="1:11" s="397" customFormat="1">
      <c r="A9" s="402"/>
      <c r="B9" s="403"/>
      <c r="C9" s="400"/>
      <c r="D9" s="431"/>
      <c r="E9" s="471"/>
      <c r="F9" s="472" t="str">
        <f t="shared" si="2"/>
        <v>----</v>
      </c>
      <c r="G9" s="471"/>
      <c r="H9" s="472" t="str">
        <f t="shared" si="0"/>
        <v>----</v>
      </c>
      <c r="I9" s="484"/>
      <c r="J9" s="401" t="str">
        <f t="shared" si="1"/>
        <v>----</v>
      </c>
    </row>
    <row r="10" spans="1:11" s="397" customFormat="1">
      <c r="A10" s="402"/>
      <c r="B10" s="403"/>
      <c r="C10" s="400"/>
      <c r="D10" s="431"/>
      <c r="E10" s="471"/>
      <c r="F10" s="472" t="str">
        <f t="shared" si="2"/>
        <v>----</v>
      </c>
      <c r="G10" s="471"/>
      <c r="H10" s="472" t="str">
        <f t="shared" si="0"/>
        <v>----</v>
      </c>
      <c r="I10" s="484"/>
      <c r="J10" s="401" t="str">
        <f t="shared" si="1"/>
        <v>----</v>
      </c>
    </row>
    <row r="11" spans="1:11" s="397" customFormat="1">
      <c r="A11" s="402"/>
      <c r="B11" s="403"/>
      <c r="C11" s="400"/>
      <c r="D11" s="431"/>
      <c r="E11" s="471"/>
      <c r="F11" s="472" t="str">
        <f t="shared" si="2"/>
        <v>----</v>
      </c>
      <c r="G11" s="471"/>
      <c r="H11" s="472" t="str">
        <f t="shared" si="0"/>
        <v>----</v>
      </c>
      <c r="I11" s="484"/>
      <c r="J11" s="401" t="str">
        <f t="shared" si="1"/>
        <v>----</v>
      </c>
    </row>
    <row r="12" spans="1:11" s="397" customFormat="1">
      <c r="A12" s="402"/>
      <c r="B12" s="403"/>
      <c r="C12" s="400"/>
      <c r="D12" s="431"/>
      <c r="E12" s="471"/>
      <c r="F12" s="472" t="str">
        <f t="shared" si="2"/>
        <v>----</v>
      </c>
      <c r="G12" s="471"/>
      <c r="H12" s="472" t="str">
        <f t="shared" si="0"/>
        <v>----</v>
      </c>
      <c r="I12" s="484"/>
      <c r="J12" s="401" t="str">
        <f t="shared" si="1"/>
        <v>----</v>
      </c>
    </row>
    <row r="13" spans="1:11" s="397" customFormat="1">
      <c r="A13" s="402"/>
      <c r="B13" s="403"/>
      <c r="C13" s="400"/>
      <c r="D13" s="431"/>
      <c r="E13" s="471"/>
      <c r="F13" s="472" t="str">
        <f t="shared" si="2"/>
        <v>----</v>
      </c>
      <c r="G13" s="471"/>
      <c r="H13" s="472" t="str">
        <f t="shared" si="0"/>
        <v>----</v>
      </c>
      <c r="I13" s="484"/>
      <c r="J13" s="401" t="str">
        <f t="shared" si="1"/>
        <v>----</v>
      </c>
    </row>
    <row r="14" spans="1:11" s="397" customFormat="1">
      <c r="A14" s="402"/>
      <c r="B14" s="403"/>
      <c r="C14" s="400"/>
      <c r="D14" s="431"/>
      <c r="E14" s="471"/>
      <c r="F14" s="472" t="str">
        <f t="shared" si="2"/>
        <v>----</v>
      </c>
      <c r="G14" s="471"/>
      <c r="H14" s="472" t="str">
        <f t="shared" si="0"/>
        <v>----</v>
      </c>
      <c r="I14" s="484"/>
      <c r="J14" s="401" t="str">
        <f t="shared" si="1"/>
        <v>----</v>
      </c>
    </row>
    <row r="15" spans="1:11">
      <c r="A15" s="88"/>
      <c r="B15" s="101"/>
      <c r="C15" s="82"/>
      <c r="D15" s="431"/>
      <c r="E15" s="471"/>
      <c r="F15" s="472" t="str">
        <f t="shared" si="2"/>
        <v>----</v>
      </c>
      <c r="G15" s="471"/>
      <c r="H15" s="472" t="str">
        <f t="shared" si="0"/>
        <v>----</v>
      </c>
      <c r="I15" s="484"/>
      <c r="J15" s="83" t="str">
        <f t="shared" si="1"/>
        <v>----</v>
      </c>
    </row>
    <row r="16" spans="1:11">
      <c r="A16" s="91"/>
      <c r="B16" s="92"/>
      <c r="C16" s="84"/>
      <c r="D16" s="477"/>
      <c r="E16" s="482"/>
      <c r="F16" s="483" t="str">
        <f t="shared" si="2"/>
        <v>----</v>
      </c>
      <c r="G16" s="482"/>
      <c r="H16" s="483" t="str">
        <f t="shared" si="0"/>
        <v>----</v>
      </c>
      <c r="I16" s="480"/>
      <c r="J16" s="85" t="str">
        <f t="shared" si="1"/>
        <v>----</v>
      </c>
    </row>
    <row r="17" spans="1:10" ht="15.75" thickBot="1">
      <c r="A17" s="74"/>
      <c r="B17" s="75"/>
      <c r="C17" s="76"/>
      <c r="D17" s="430"/>
      <c r="E17" s="475"/>
      <c r="F17" s="476" t="str">
        <f t="shared" si="2"/>
        <v>----</v>
      </c>
      <c r="G17" s="475"/>
      <c r="H17" s="476" t="str">
        <f t="shared" si="0"/>
        <v>----</v>
      </c>
      <c r="I17" s="481"/>
      <c r="J17" s="77" t="str">
        <f t="shared" si="1"/>
        <v>----</v>
      </c>
    </row>
    <row r="18" spans="1:10" ht="15.75" thickBot="1">
      <c r="A18" s="27"/>
      <c r="B18" s="27"/>
      <c r="C18" s="28"/>
      <c r="D18" s="28"/>
      <c r="E18" s="439"/>
      <c r="F18" s="441">
        <f>SUM(F4:F17)</f>
        <v>0</v>
      </c>
      <c r="G18" s="439"/>
      <c r="H18" s="441">
        <f>SUM(H4:H17)</f>
        <v>0</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2EFF-0683-4590-9138-F754C8715413}">
  <dimension ref="A1:K18"/>
  <sheetViews>
    <sheetView workbookViewId="0">
      <selection activeCell="N13" sqref="N13"/>
    </sheetView>
  </sheetViews>
  <sheetFormatPr defaultRowHeight="15"/>
  <cols>
    <col min="2" max="2" width="23.7109375" bestFit="1" customWidth="1"/>
    <col min="3" max="4" width="10.7109375" bestFit="1" customWidth="1"/>
    <col min="5" max="6" width="9.140625" style="432"/>
    <col min="7" max="7" width="10.7109375" style="432" bestFit="1" customWidth="1"/>
    <col min="8" max="8" width="9.85546875" style="432" bestFit="1" customWidth="1"/>
  </cols>
  <sheetData>
    <row r="1" spans="1:11" ht="15.75" thickBot="1">
      <c r="A1" s="952" t="s">
        <v>262</v>
      </c>
      <c r="B1" s="953"/>
      <c r="C1" s="953"/>
      <c r="D1" s="953"/>
      <c r="E1" s="953"/>
      <c r="F1" s="953"/>
      <c r="G1" s="953"/>
      <c r="H1" s="953"/>
      <c r="I1" s="953"/>
      <c r="J1" s="954"/>
    </row>
    <row r="2" spans="1:11" s="432" customFormat="1">
      <c r="A2" s="959" t="s">
        <v>110</v>
      </c>
      <c r="B2" s="961" t="s">
        <v>111</v>
      </c>
      <c r="C2" s="961" t="s">
        <v>112</v>
      </c>
      <c r="D2" s="963" t="s">
        <v>120</v>
      </c>
      <c r="E2" s="957" t="s">
        <v>701</v>
      </c>
      <c r="F2" s="958"/>
      <c r="G2" s="957" t="s">
        <v>702</v>
      </c>
      <c r="H2" s="958"/>
      <c r="I2" s="932" t="s">
        <v>796</v>
      </c>
      <c r="J2" s="933"/>
    </row>
    <row r="3" spans="1:11" ht="69" thickBot="1">
      <c r="A3" s="960"/>
      <c r="B3" s="962"/>
      <c r="C3" s="962"/>
      <c r="D3" s="964"/>
      <c r="E3" s="460" t="s">
        <v>121</v>
      </c>
      <c r="F3" s="468" t="s">
        <v>704</v>
      </c>
      <c r="G3" s="460" t="s">
        <v>121</v>
      </c>
      <c r="H3" s="468" t="s">
        <v>704</v>
      </c>
      <c r="I3" s="478" t="s">
        <v>121</v>
      </c>
      <c r="J3" s="25" t="s">
        <v>704</v>
      </c>
    </row>
    <row r="4" spans="1:11">
      <c r="A4" s="70">
        <v>43998</v>
      </c>
      <c r="B4" s="71" t="s">
        <v>374</v>
      </c>
      <c r="C4" s="72">
        <v>439607.15</v>
      </c>
      <c r="D4" s="429">
        <f>C4</f>
        <v>439607.15</v>
      </c>
      <c r="E4" s="469"/>
      <c r="F4" s="470" t="str">
        <f>IF(ISBLANK(E4),"----",E4-$D4)</f>
        <v>----</v>
      </c>
      <c r="G4" s="469">
        <v>444195.77</v>
      </c>
      <c r="H4" s="470">
        <f t="shared" ref="H4:H17" si="0">IF(OR(G4="Complete",ISBLANK(G4)),"----",G4-$D4)</f>
        <v>4588.6199999999953</v>
      </c>
      <c r="I4" s="479" t="s">
        <v>703</v>
      </c>
      <c r="J4" s="73" t="str">
        <f t="shared" ref="J4:J17" si="1">IF(OR(I4="Complete",ISBLANK(I4)),"----",I4-$D4)</f>
        <v>----</v>
      </c>
    </row>
    <row r="5" spans="1:11">
      <c r="A5" s="88">
        <v>44216</v>
      </c>
      <c r="B5" s="101" t="s">
        <v>375</v>
      </c>
      <c r="C5" s="82">
        <v>308610.75</v>
      </c>
      <c r="D5" s="431">
        <v>62820.75</v>
      </c>
      <c r="E5" s="471"/>
      <c r="F5" s="472" t="str">
        <f t="shared" ref="F5:F17" si="2">IF(ISBLANK(E5),"----",E5-$D5)</f>
        <v>----</v>
      </c>
      <c r="G5" s="471">
        <f>338536.55-245790</f>
        <v>92746.549999999988</v>
      </c>
      <c r="H5" s="472">
        <f t="shared" si="0"/>
        <v>29925.799999999988</v>
      </c>
      <c r="I5" s="484" t="s">
        <v>703</v>
      </c>
      <c r="J5" s="83" t="str">
        <f t="shared" si="1"/>
        <v>----</v>
      </c>
      <c r="K5" t="s">
        <v>812</v>
      </c>
    </row>
    <row r="6" spans="1:11">
      <c r="A6" s="102">
        <v>44488</v>
      </c>
      <c r="B6" s="103" t="s">
        <v>482</v>
      </c>
      <c r="C6" s="87">
        <v>794590.8</v>
      </c>
      <c r="D6" s="466">
        <f>C6</f>
        <v>794590.8</v>
      </c>
      <c r="E6" s="473"/>
      <c r="F6" s="472" t="str">
        <f t="shared" si="2"/>
        <v>----</v>
      </c>
      <c r="G6" s="473">
        <v>797681.03</v>
      </c>
      <c r="H6" s="472">
        <f t="shared" si="0"/>
        <v>3090.2299999999814</v>
      </c>
      <c r="I6" s="486" t="s">
        <v>703</v>
      </c>
      <c r="J6" s="83" t="str">
        <f t="shared" si="1"/>
        <v>----</v>
      </c>
    </row>
    <row r="7" spans="1:11">
      <c r="A7" s="102">
        <v>44551</v>
      </c>
      <c r="B7" s="256" t="s">
        <v>481</v>
      </c>
      <c r="C7" s="87">
        <v>507684.25</v>
      </c>
      <c r="D7" s="466">
        <f>C7</f>
        <v>507684.25</v>
      </c>
      <c r="E7" s="473"/>
      <c r="F7" s="472" t="str">
        <f t="shared" si="2"/>
        <v>----</v>
      </c>
      <c r="G7" s="473">
        <v>520597.6</v>
      </c>
      <c r="H7" s="472">
        <f t="shared" si="0"/>
        <v>12913.349999999977</v>
      </c>
      <c r="I7" s="486" t="s">
        <v>703</v>
      </c>
      <c r="J7" s="83" t="str">
        <f t="shared" si="1"/>
        <v>----</v>
      </c>
    </row>
    <row r="8" spans="1:11">
      <c r="A8" s="102">
        <v>44670</v>
      </c>
      <c r="B8" s="103" t="s">
        <v>515</v>
      </c>
      <c r="C8" s="87">
        <v>588114.94999999995</v>
      </c>
      <c r="D8" s="466">
        <f>C8</f>
        <v>588114.94999999995</v>
      </c>
      <c r="E8" s="473"/>
      <c r="F8" s="472" t="str">
        <f t="shared" si="2"/>
        <v>----</v>
      </c>
      <c r="G8" s="473">
        <v>602873.4</v>
      </c>
      <c r="H8" s="472">
        <f t="shared" si="0"/>
        <v>14758.45000000007</v>
      </c>
      <c r="I8" s="486" t="s">
        <v>703</v>
      </c>
      <c r="J8" s="83" t="str">
        <f t="shared" si="1"/>
        <v>----</v>
      </c>
    </row>
    <row r="9" spans="1:11">
      <c r="A9" s="102">
        <v>45461</v>
      </c>
      <c r="B9" s="450" t="s">
        <v>755</v>
      </c>
      <c r="C9" s="370">
        <v>555067.51</v>
      </c>
      <c r="D9" s="559">
        <f>C9</f>
        <v>555067.51</v>
      </c>
      <c r="E9" s="473"/>
      <c r="F9" s="472" t="str">
        <f t="shared" si="2"/>
        <v>----</v>
      </c>
      <c r="G9" s="473"/>
      <c r="H9" s="472" t="str">
        <f t="shared" si="0"/>
        <v>----</v>
      </c>
      <c r="I9" s="486"/>
      <c r="J9" s="83" t="str">
        <f t="shared" si="1"/>
        <v>----</v>
      </c>
    </row>
    <row r="10" spans="1:11">
      <c r="A10" s="102"/>
      <c r="B10" s="103"/>
      <c r="C10" s="370"/>
      <c r="D10" s="559"/>
      <c r="E10" s="473"/>
      <c r="F10" s="472" t="str">
        <f t="shared" si="2"/>
        <v>----</v>
      </c>
      <c r="G10" s="473"/>
      <c r="H10" s="472" t="str">
        <f t="shared" si="0"/>
        <v>----</v>
      </c>
      <c r="I10" s="486"/>
      <c r="J10" s="83" t="str">
        <f t="shared" si="1"/>
        <v>----</v>
      </c>
    </row>
    <row r="11" spans="1:11">
      <c r="A11" s="102"/>
      <c r="B11" s="103"/>
      <c r="C11" s="370"/>
      <c r="D11" s="559"/>
      <c r="E11" s="473"/>
      <c r="F11" s="472" t="str">
        <f t="shared" si="2"/>
        <v>----</v>
      </c>
      <c r="G11" s="473"/>
      <c r="H11" s="472" t="str">
        <f t="shared" si="0"/>
        <v>----</v>
      </c>
      <c r="I11" s="486"/>
      <c r="J11" s="83" t="str">
        <f t="shared" si="1"/>
        <v>----</v>
      </c>
    </row>
    <row r="12" spans="1:11">
      <c r="A12" s="102"/>
      <c r="B12" s="103"/>
      <c r="C12" s="370"/>
      <c r="D12" s="559"/>
      <c r="E12" s="473"/>
      <c r="F12" s="472" t="str">
        <f t="shared" si="2"/>
        <v>----</v>
      </c>
      <c r="G12" s="473"/>
      <c r="H12" s="472" t="str">
        <f t="shared" si="0"/>
        <v>----</v>
      </c>
      <c r="I12" s="486"/>
      <c r="J12" s="83" t="str">
        <f t="shared" si="1"/>
        <v>----</v>
      </c>
    </row>
    <row r="13" spans="1:11">
      <c r="A13" s="102"/>
      <c r="B13" s="103"/>
      <c r="C13" s="370"/>
      <c r="D13" s="559"/>
      <c r="E13" s="473"/>
      <c r="F13" s="472" t="str">
        <f t="shared" si="2"/>
        <v>----</v>
      </c>
      <c r="G13" s="473"/>
      <c r="H13" s="472" t="str">
        <f t="shared" si="0"/>
        <v>----</v>
      </c>
      <c r="I13" s="486"/>
      <c r="J13" s="83" t="str">
        <f t="shared" si="1"/>
        <v>----</v>
      </c>
    </row>
    <row r="14" spans="1:11">
      <c r="A14" s="116"/>
      <c r="B14" s="117"/>
      <c r="C14" s="602"/>
      <c r="D14" s="603"/>
      <c r="E14" s="474"/>
      <c r="F14" s="472" t="str">
        <f t="shared" si="2"/>
        <v>----</v>
      </c>
      <c r="G14" s="474"/>
      <c r="H14" s="472" t="str">
        <f t="shared" si="0"/>
        <v>----</v>
      </c>
      <c r="I14" s="488"/>
      <c r="J14" s="83" t="str">
        <f t="shared" si="1"/>
        <v>----</v>
      </c>
    </row>
    <row r="15" spans="1:11">
      <c r="A15" s="88"/>
      <c r="B15" s="101"/>
      <c r="C15" s="457"/>
      <c r="D15" s="504"/>
      <c r="E15" s="471"/>
      <c r="F15" s="472" t="str">
        <f t="shared" si="2"/>
        <v>----</v>
      </c>
      <c r="G15" s="471"/>
      <c r="H15" s="472" t="str">
        <f t="shared" si="0"/>
        <v>----</v>
      </c>
      <c r="I15" s="484"/>
      <c r="J15" s="83" t="str">
        <f t="shared" si="1"/>
        <v>----</v>
      </c>
    </row>
    <row r="16" spans="1:11">
      <c r="A16" s="91"/>
      <c r="B16" s="92"/>
      <c r="C16" s="604"/>
      <c r="D16" s="605"/>
      <c r="E16" s="482"/>
      <c r="F16" s="483" t="str">
        <f t="shared" si="2"/>
        <v>----</v>
      </c>
      <c r="G16" s="482"/>
      <c r="H16" s="483" t="str">
        <f t="shared" si="0"/>
        <v>----</v>
      </c>
      <c r="I16" s="480"/>
      <c r="J16" s="85" t="str">
        <f t="shared" si="1"/>
        <v>----</v>
      </c>
    </row>
    <row r="17" spans="1:10" ht="15.75" thickBot="1">
      <c r="A17" s="74"/>
      <c r="B17" s="75"/>
      <c r="C17" s="373"/>
      <c r="D17" s="527"/>
      <c r="E17" s="475"/>
      <c r="F17" s="476" t="str">
        <f t="shared" si="2"/>
        <v>----</v>
      </c>
      <c r="G17" s="475"/>
      <c r="H17" s="476" t="str">
        <f t="shared" si="0"/>
        <v>----</v>
      </c>
      <c r="I17" s="481"/>
      <c r="J17" s="77" t="str">
        <f t="shared" si="1"/>
        <v>----</v>
      </c>
    </row>
    <row r="18" spans="1:10" ht="15.75" thickBot="1">
      <c r="A18" s="27"/>
      <c r="B18" s="27"/>
      <c r="C18" s="28"/>
      <c r="D18" s="28"/>
      <c r="E18" s="439"/>
      <c r="F18" s="441">
        <f>SUM(F4:F17)</f>
        <v>0</v>
      </c>
      <c r="G18" s="439"/>
      <c r="H18" s="441">
        <f>SUM(H4:H17)</f>
        <v>65276.450000000012</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9AFAA-FDFD-45F9-A484-38B01514BB8F}">
  <dimension ref="A1:K21"/>
  <sheetViews>
    <sheetView workbookViewId="0">
      <selection activeCell="K6" sqref="K6"/>
    </sheetView>
  </sheetViews>
  <sheetFormatPr defaultRowHeight="15"/>
  <cols>
    <col min="2" max="2" width="22.5703125" bestFit="1" customWidth="1"/>
    <col min="3" max="3" width="12" bestFit="1" customWidth="1"/>
    <col min="4" max="4" width="15.28515625" customWidth="1"/>
    <col min="5" max="5" width="12" style="432" bestFit="1" customWidth="1"/>
    <col min="6" max="6" width="13.5703125" style="432" customWidth="1"/>
    <col min="7" max="7" width="12" style="432" bestFit="1" customWidth="1"/>
    <col min="8" max="8" width="13.5703125" style="432" customWidth="1"/>
    <col min="9" max="9" width="12" bestFit="1" customWidth="1"/>
    <col min="10" max="10" width="13.5703125" customWidth="1"/>
  </cols>
  <sheetData>
    <row r="1" spans="1:11" ht="15.75" thickBot="1">
      <c r="A1" s="952" t="s">
        <v>181</v>
      </c>
      <c r="B1" s="953"/>
      <c r="C1" s="953"/>
      <c r="D1" s="953"/>
      <c r="E1" s="953"/>
      <c r="F1" s="953"/>
      <c r="G1" s="953"/>
      <c r="H1" s="953"/>
      <c r="I1" s="953"/>
      <c r="J1" s="954"/>
    </row>
    <row r="2" spans="1:11" s="432" customFormat="1">
      <c r="A2" s="959" t="s">
        <v>110</v>
      </c>
      <c r="B2" s="961" t="s">
        <v>111</v>
      </c>
      <c r="C2" s="961" t="s">
        <v>112</v>
      </c>
      <c r="D2" s="963" t="s">
        <v>120</v>
      </c>
      <c r="E2" s="957" t="s">
        <v>701</v>
      </c>
      <c r="F2" s="958"/>
      <c r="G2" s="957" t="s">
        <v>702</v>
      </c>
      <c r="H2" s="958"/>
      <c r="I2" s="932" t="s">
        <v>796</v>
      </c>
      <c r="J2" s="933"/>
    </row>
    <row r="3" spans="1:11" ht="46.5" thickBot="1">
      <c r="A3" s="960"/>
      <c r="B3" s="962"/>
      <c r="C3" s="962"/>
      <c r="D3" s="964"/>
      <c r="E3" s="460" t="s">
        <v>121</v>
      </c>
      <c r="F3" s="468" t="s">
        <v>704</v>
      </c>
      <c r="G3" s="460" t="s">
        <v>121</v>
      </c>
      <c r="H3" s="468" t="s">
        <v>704</v>
      </c>
      <c r="I3" s="478" t="s">
        <v>121</v>
      </c>
      <c r="J3" s="25" t="s">
        <v>704</v>
      </c>
    </row>
    <row r="4" spans="1:11">
      <c r="A4" s="70">
        <v>43852</v>
      </c>
      <c r="B4" s="71" t="s">
        <v>200</v>
      </c>
      <c r="C4" s="72">
        <v>1206780.03</v>
      </c>
      <c r="D4" s="429">
        <f>C4</f>
        <v>1206780.03</v>
      </c>
      <c r="E4" s="469">
        <v>1215947.19</v>
      </c>
      <c r="F4" s="470">
        <f>IF(ISBLANK(E4),"----",E4-$D4)</f>
        <v>9167.1599999999162</v>
      </c>
      <c r="G4" s="469" t="s">
        <v>703</v>
      </c>
      <c r="H4" s="470" t="str">
        <f t="shared" ref="H4:H20" si="0">IF(OR(G4="Complete",ISBLANK(G4)),"----",G4-$D4)</f>
        <v>----</v>
      </c>
      <c r="I4" s="479" t="s">
        <v>703</v>
      </c>
      <c r="J4" s="73" t="str">
        <f t="shared" ref="J4:J20" si="1">IF(OR(I4="Complete",ISBLANK(I4)),"----",I4-$D4)</f>
        <v>----</v>
      </c>
    </row>
    <row r="5" spans="1:11">
      <c r="A5" s="91">
        <v>44124</v>
      </c>
      <c r="B5" s="92" t="s">
        <v>313</v>
      </c>
      <c r="C5" s="84">
        <v>786173.3</v>
      </c>
      <c r="D5" s="477">
        <v>389452.3</v>
      </c>
      <c r="E5" s="482"/>
      <c r="F5" s="472" t="str">
        <f t="shared" ref="F5:F20" si="2">IF(ISBLANK(E5),"----",E5-$D5)</f>
        <v>----</v>
      </c>
      <c r="G5" s="482">
        <f>780468.25-396721</f>
        <v>383747.25</v>
      </c>
      <c r="H5" s="472">
        <f t="shared" si="0"/>
        <v>-5705.0499999999884</v>
      </c>
      <c r="I5" s="480" t="s">
        <v>703</v>
      </c>
      <c r="J5" s="83" t="str">
        <f t="shared" si="1"/>
        <v>----</v>
      </c>
      <c r="K5" s="780" t="s">
        <v>807</v>
      </c>
    </row>
    <row r="6" spans="1:11">
      <c r="A6" s="102">
        <v>44334</v>
      </c>
      <c r="B6" s="103" t="s">
        <v>429</v>
      </c>
      <c r="C6" s="87">
        <v>821929.8</v>
      </c>
      <c r="D6" s="466">
        <f>C6</f>
        <v>821929.8</v>
      </c>
      <c r="E6" s="473">
        <v>800377.23</v>
      </c>
      <c r="F6" s="472">
        <f t="shared" si="2"/>
        <v>-21552.570000000065</v>
      </c>
      <c r="G6" s="473" t="s">
        <v>703</v>
      </c>
      <c r="H6" s="472" t="str">
        <f t="shared" si="0"/>
        <v>----</v>
      </c>
      <c r="I6" s="486" t="s">
        <v>703</v>
      </c>
      <c r="J6" s="83" t="str">
        <f t="shared" si="1"/>
        <v>----</v>
      </c>
    </row>
    <row r="7" spans="1:11">
      <c r="A7" s="102">
        <v>44460</v>
      </c>
      <c r="B7" s="103" t="s">
        <v>453</v>
      </c>
      <c r="C7" s="87">
        <v>760896.65</v>
      </c>
      <c r="D7" s="466">
        <v>446285.65</v>
      </c>
      <c r="E7" s="473"/>
      <c r="F7" s="472" t="str">
        <f t="shared" si="2"/>
        <v>----</v>
      </c>
      <c r="G7" s="473"/>
      <c r="H7" s="472" t="str">
        <f t="shared" si="0"/>
        <v>----</v>
      </c>
      <c r="I7" s="486"/>
      <c r="J7" s="83" t="str">
        <f t="shared" si="1"/>
        <v>----</v>
      </c>
    </row>
    <row r="8" spans="1:11">
      <c r="A8" s="102">
        <v>45370</v>
      </c>
      <c r="B8" s="103" t="s">
        <v>734</v>
      </c>
      <c r="C8" s="87">
        <v>453367.26</v>
      </c>
      <c r="D8" s="466">
        <f>C8</f>
        <v>453367.26</v>
      </c>
      <c r="E8" s="473"/>
      <c r="F8" s="472" t="str">
        <f t="shared" si="2"/>
        <v>----</v>
      </c>
      <c r="G8" s="473"/>
      <c r="H8" s="472" t="str">
        <f t="shared" si="0"/>
        <v>----</v>
      </c>
      <c r="I8" s="486"/>
      <c r="J8" s="83" t="str">
        <f t="shared" si="1"/>
        <v>----</v>
      </c>
    </row>
    <row r="9" spans="1:11">
      <c r="A9" s="102"/>
      <c r="B9" s="103"/>
      <c r="C9" s="87"/>
      <c r="D9" s="466"/>
      <c r="E9" s="473"/>
      <c r="F9" s="472" t="str">
        <f t="shared" si="2"/>
        <v>----</v>
      </c>
      <c r="G9" s="473"/>
      <c r="H9" s="472" t="str">
        <f t="shared" si="0"/>
        <v>----</v>
      </c>
      <c r="I9" s="486"/>
      <c r="J9" s="83" t="str">
        <f t="shared" si="1"/>
        <v>----</v>
      </c>
    </row>
    <row r="10" spans="1:11">
      <c r="A10" s="102"/>
      <c r="B10" s="103"/>
      <c r="C10" s="87"/>
      <c r="D10" s="466"/>
      <c r="E10" s="473"/>
      <c r="F10" s="472" t="str">
        <f t="shared" si="2"/>
        <v>----</v>
      </c>
      <c r="G10" s="473"/>
      <c r="H10" s="472" t="str">
        <f t="shared" si="0"/>
        <v>----</v>
      </c>
      <c r="I10" s="486"/>
      <c r="J10" s="83" t="str">
        <f t="shared" si="1"/>
        <v>----</v>
      </c>
    </row>
    <row r="11" spans="1:11">
      <c r="A11" s="102"/>
      <c r="B11" s="103"/>
      <c r="C11" s="87"/>
      <c r="D11" s="466"/>
      <c r="E11" s="473"/>
      <c r="F11" s="472" t="str">
        <f t="shared" si="2"/>
        <v>----</v>
      </c>
      <c r="G11" s="473"/>
      <c r="H11" s="472" t="str">
        <f t="shared" si="0"/>
        <v>----</v>
      </c>
      <c r="I11" s="486"/>
      <c r="J11" s="83" t="str">
        <f t="shared" si="1"/>
        <v>----</v>
      </c>
    </row>
    <row r="12" spans="1:11">
      <c r="A12" s="102"/>
      <c r="B12" s="103"/>
      <c r="C12" s="87"/>
      <c r="D12" s="466"/>
      <c r="E12" s="473"/>
      <c r="F12" s="472" t="str">
        <f t="shared" si="2"/>
        <v>----</v>
      </c>
      <c r="G12" s="473"/>
      <c r="H12" s="472" t="str">
        <f t="shared" si="0"/>
        <v>----</v>
      </c>
      <c r="I12" s="486"/>
      <c r="J12" s="83" t="str">
        <f t="shared" si="1"/>
        <v>----</v>
      </c>
    </row>
    <row r="13" spans="1:11">
      <c r="A13" s="102"/>
      <c r="B13" s="103"/>
      <c r="C13" s="87"/>
      <c r="D13" s="466"/>
      <c r="E13" s="473"/>
      <c r="F13" s="472" t="str">
        <f t="shared" si="2"/>
        <v>----</v>
      </c>
      <c r="G13" s="473"/>
      <c r="H13" s="472" t="str">
        <f t="shared" si="0"/>
        <v>----</v>
      </c>
      <c r="I13" s="486"/>
      <c r="J13" s="83" t="str">
        <f t="shared" si="1"/>
        <v>----</v>
      </c>
    </row>
    <row r="14" spans="1:11">
      <c r="A14" s="102"/>
      <c r="B14" s="103"/>
      <c r="C14" s="87"/>
      <c r="D14" s="466"/>
      <c r="E14" s="473"/>
      <c r="F14" s="472" t="str">
        <f t="shared" si="2"/>
        <v>----</v>
      </c>
      <c r="G14" s="473"/>
      <c r="H14" s="472" t="str">
        <f t="shared" si="0"/>
        <v>----</v>
      </c>
      <c r="I14" s="486"/>
      <c r="J14" s="83" t="str">
        <f t="shared" si="1"/>
        <v>----</v>
      </c>
    </row>
    <row r="15" spans="1:11">
      <c r="A15" s="102"/>
      <c r="B15" s="103"/>
      <c r="C15" s="87"/>
      <c r="D15" s="466"/>
      <c r="E15" s="473"/>
      <c r="F15" s="472" t="str">
        <f t="shared" si="2"/>
        <v>----</v>
      </c>
      <c r="G15" s="473"/>
      <c r="H15" s="472" t="str">
        <f t="shared" si="0"/>
        <v>----</v>
      </c>
      <c r="I15" s="486"/>
      <c r="J15" s="83" t="str">
        <f t="shared" si="1"/>
        <v>----</v>
      </c>
    </row>
    <row r="16" spans="1:11">
      <c r="A16" s="102"/>
      <c r="B16" s="103"/>
      <c r="C16" s="87"/>
      <c r="D16" s="466"/>
      <c r="E16" s="473"/>
      <c r="F16" s="472" t="str">
        <f t="shared" si="2"/>
        <v>----</v>
      </c>
      <c r="G16" s="473"/>
      <c r="H16" s="472" t="str">
        <f t="shared" si="0"/>
        <v>----</v>
      </c>
      <c r="I16" s="486"/>
      <c r="J16" s="83" t="str">
        <f t="shared" si="1"/>
        <v>----</v>
      </c>
    </row>
    <row r="17" spans="1:10">
      <c r="A17" s="102"/>
      <c r="B17" s="103"/>
      <c r="C17" s="87"/>
      <c r="D17" s="466"/>
      <c r="E17" s="473"/>
      <c r="F17" s="472" t="str">
        <f t="shared" si="2"/>
        <v>----</v>
      </c>
      <c r="G17" s="473"/>
      <c r="H17" s="472" t="str">
        <f t="shared" si="0"/>
        <v>----</v>
      </c>
      <c r="I17" s="486"/>
      <c r="J17" s="83" t="str">
        <f t="shared" si="1"/>
        <v>----</v>
      </c>
    </row>
    <row r="18" spans="1:10">
      <c r="A18" s="102"/>
      <c r="B18" s="103"/>
      <c r="C18" s="87"/>
      <c r="D18" s="466"/>
      <c r="E18" s="473"/>
      <c r="F18" s="472" t="str">
        <f t="shared" si="2"/>
        <v>----</v>
      </c>
      <c r="G18" s="473"/>
      <c r="H18" s="472" t="str">
        <f t="shared" si="0"/>
        <v>----</v>
      </c>
      <c r="I18" s="486"/>
      <c r="J18" s="83" t="str">
        <f t="shared" si="1"/>
        <v>----</v>
      </c>
    </row>
    <row r="19" spans="1:10">
      <c r="A19" s="116"/>
      <c r="B19" s="117"/>
      <c r="C19" s="118"/>
      <c r="D19" s="467"/>
      <c r="E19" s="474"/>
      <c r="F19" s="472" t="str">
        <f t="shared" si="2"/>
        <v>----</v>
      </c>
      <c r="G19" s="474"/>
      <c r="H19" s="472" t="str">
        <f t="shared" si="0"/>
        <v>----</v>
      </c>
      <c r="I19" s="488"/>
      <c r="J19" s="83" t="str">
        <f t="shared" si="1"/>
        <v>----</v>
      </c>
    </row>
    <row r="20" spans="1:10" ht="15.75" thickBot="1">
      <c r="A20" s="74"/>
      <c r="B20" s="75"/>
      <c r="C20" s="76"/>
      <c r="D20" s="430"/>
      <c r="E20" s="475"/>
      <c r="F20" s="476" t="str">
        <f t="shared" si="2"/>
        <v>----</v>
      </c>
      <c r="G20" s="475"/>
      <c r="H20" s="476" t="str">
        <f t="shared" si="0"/>
        <v>----</v>
      </c>
      <c r="I20" s="481"/>
      <c r="J20" s="77" t="str">
        <f t="shared" si="1"/>
        <v>----</v>
      </c>
    </row>
    <row r="21" spans="1:10" ht="15.75" thickBot="1">
      <c r="A21" s="27"/>
      <c r="B21" s="27"/>
      <c r="C21" s="28"/>
      <c r="D21" s="28"/>
      <c r="E21" s="439"/>
      <c r="F21" s="441">
        <f>SUM(F4:F20)</f>
        <v>-12385.410000000149</v>
      </c>
      <c r="G21" s="439"/>
      <c r="H21" s="441">
        <f>SUM(H4:H20)</f>
        <v>-5705.0499999999884</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365C6-686C-461A-917A-932850FCA5A9}">
  <dimension ref="A1:J23"/>
  <sheetViews>
    <sheetView workbookViewId="0">
      <selection activeCell="I8" sqref="I8"/>
    </sheetView>
  </sheetViews>
  <sheetFormatPr defaultRowHeight="15"/>
  <cols>
    <col min="2" max="2" width="22.5703125" bestFit="1" customWidth="1"/>
    <col min="3" max="4" width="10.7109375" bestFit="1" customWidth="1"/>
    <col min="5" max="5" width="10.7109375" style="432" bestFit="1" customWidth="1"/>
    <col min="6" max="6" width="9.85546875" style="432" bestFit="1" customWidth="1"/>
    <col min="7" max="7" width="10.7109375" style="432" bestFit="1" customWidth="1"/>
    <col min="8" max="8" width="9.85546875" style="432" bestFit="1" customWidth="1"/>
    <col min="9" max="9" width="10.7109375" bestFit="1" customWidth="1"/>
    <col min="10" max="10" width="9.85546875" bestFit="1" customWidth="1"/>
  </cols>
  <sheetData>
    <row r="1" spans="1:10" ht="15.75" thickBot="1">
      <c r="A1" s="952" t="s">
        <v>263</v>
      </c>
      <c r="B1" s="953"/>
      <c r="C1" s="953"/>
      <c r="D1" s="953"/>
      <c r="E1" s="953"/>
      <c r="F1" s="953"/>
      <c r="G1" s="953"/>
      <c r="H1" s="953"/>
      <c r="I1" s="953"/>
      <c r="J1" s="954"/>
    </row>
    <row r="2" spans="1:10" s="432" customFormat="1">
      <c r="A2" s="959" t="s">
        <v>110</v>
      </c>
      <c r="B2" s="961" t="s">
        <v>111</v>
      </c>
      <c r="C2" s="961" t="s">
        <v>112</v>
      </c>
      <c r="D2" s="963" t="s">
        <v>120</v>
      </c>
      <c r="E2" s="957" t="s">
        <v>701</v>
      </c>
      <c r="F2" s="958"/>
      <c r="G2" s="957" t="s">
        <v>702</v>
      </c>
      <c r="H2" s="958"/>
      <c r="I2" s="932" t="s">
        <v>796</v>
      </c>
      <c r="J2" s="933"/>
    </row>
    <row r="3" spans="1:10" ht="57.75" thickBot="1">
      <c r="A3" s="960"/>
      <c r="B3" s="962"/>
      <c r="C3" s="962"/>
      <c r="D3" s="964"/>
      <c r="E3" s="460" t="s">
        <v>121</v>
      </c>
      <c r="F3" s="468" t="s">
        <v>704</v>
      </c>
      <c r="G3" s="460" t="s">
        <v>121</v>
      </c>
      <c r="H3" s="468" t="s">
        <v>704</v>
      </c>
      <c r="I3" s="478" t="s">
        <v>121</v>
      </c>
      <c r="J3" s="25" t="s">
        <v>704</v>
      </c>
    </row>
    <row r="4" spans="1:10">
      <c r="A4" s="70">
        <v>44397</v>
      </c>
      <c r="B4" s="71" t="s">
        <v>439</v>
      </c>
      <c r="C4" s="72">
        <v>335897.75</v>
      </c>
      <c r="D4" s="429">
        <f>C4</f>
        <v>335897.75</v>
      </c>
      <c r="E4" s="469">
        <v>348364.73</v>
      </c>
      <c r="F4" s="470">
        <f>IF(ISBLANK(E4),"----",E4-$D4)</f>
        <v>12466.979999999981</v>
      </c>
      <c r="G4" s="469" t="s">
        <v>703</v>
      </c>
      <c r="H4" s="470" t="str">
        <f t="shared" ref="H4:H22" si="0">IF(OR(G4="Complete",ISBLANK(G4)),"----",G4-$D4)</f>
        <v>----</v>
      </c>
      <c r="I4" s="479" t="s">
        <v>703</v>
      </c>
      <c r="J4" s="73" t="str">
        <f t="shared" ref="J4:J22" si="1">IF(OR(I4="Complete",ISBLANK(I4)),"----",I4-$D4)</f>
        <v>----</v>
      </c>
    </row>
    <row r="5" spans="1:10">
      <c r="A5" s="88">
        <v>44397</v>
      </c>
      <c r="B5" s="101" t="s">
        <v>440</v>
      </c>
      <c r="C5" s="82">
        <v>144399.63</v>
      </c>
      <c r="D5" s="431">
        <f>C5</f>
        <v>144399.63</v>
      </c>
      <c r="E5" s="471">
        <v>166173.15</v>
      </c>
      <c r="F5" s="472">
        <f t="shared" ref="F5:F22" si="2">IF(ISBLANK(E5),"----",E5-$D5)</f>
        <v>21773.51999999999</v>
      </c>
      <c r="G5" s="471" t="s">
        <v>703</v>
      </c>
      <c r="H5" s="472" t="str">
        <f t="shared" si="0"/>
        <v>----</v>
      </c>
      <c r="I5" s="484" t="s">
        <v>703</v>
      </c>
      <c r="J5" s="83" t="str">
        <f t="shared" si="1"/>
        <v>----</v>
      </c>
    </row>
    <row r="6" spans="1:10">
      <c r="A6" s="88">
        <v>44789</v>
      </c>
      <c r="B6" s="101" t="s">
        <v>553</v>
      </c>
      <c r="C6" s="82">
        <v>241434.5</v>
      </c>
      <c r="D6" s="431">
        <f>C6</f>
        <v>241434.5</v>
      </c>
      <c r="E6" s="471"/>
      <c r="F6" s="472" t="str">
        <f t="shared" si="2"/>
        <v>----</v>
      </c>
      <c r="G6" s="471">
        <v>243651.72</v>
      </c>
      <c r="H6" s="472">
        <f t="shared" si="0"/>
        <v>2217.2200000000012</v>
      </c>
      <c r="I6" s="484"/>
      <c r="J6" s="83" t="str">
        <f t="shared" si="1"/>
        <v>----</v>
      </c>
    </row>
    <row r="7" spans="1:10">
      <c r="A7" s="88">
        <v>45097</v>
      </c>
      <c r="B7" s="101" t="s">
        <v>651</v>
      </c>
      <c r="C7" s="82">
        <v>470735</v>
      </c>
      <c r="D7" s="431">
        <f>C7</f>
        <v>470735</v>
      </c>
      <c r="E7" s="471"/>
      <c r="F7" s="472" t="str">
        <f t="shared" si="2"/>
        <v>----</v>
      </c>
      <c r="G7" s="471"/>
      <c r="H7" s="472" t="str">
        <f t="shared" si="0"/>
        <v>----</v>
      </c>
      <c r="I7" s="484">
        <v>493653.8</v>
      </c>
      <c r="J7" s="83">
        <f t="shared" si="1"/>
        <v>22918.799999999988</v>
      </c>
    </row>
    <row r="8" spans="1:10">
      <c r="A8" s="393">
        <v>45251</v>
      </c>
      <c r="B8" s="394" t="s">
        <v>676</v>
      </c>
      <c r="C8" s="392">
        <v>434062.5</v>
      </c>
      <c r="D8" s="431">
        <f>C8</f>
        <v>434062.5</v>
      </c>
      <c r="E8" s="471"/>
      <c r="F8" s="472" t="str">
        <f t="shared" si="2"/>
        <v>----</v>
      </c>
      <c r="G8" s="471"/>
      <c r="H8" s="472" t="str">
        <f t="shared" si="0"/>
        <v>----</v>
      </c>
      <c r="I8" s="484"/>
      <c r="J8" s="83" t="str">
        <f t="shared" si="1"/>
        <v>----</v>
      </c>
    </row>
    <row r="9" spans="1:10">
      <c r="A9" s="88"/>
      <c r="B9" s="101"/>
      <c r="C9" s="82"/>
      <c r="D9" s="431"/>
      <c r="E9" s="471"/>
      <c r="F9" s="472" t="str">
        <f t="shared" si="2"/>
        <v>----</v>
      </c>
      <c r="G9" s="471"/>
      <c r="H9" s="472" t="str">
        <f t="shared" si="0"/>
        <v>----</v>
      </c>
      <c r="I9" s="484"/>
      <c r="J9" s="83" t="str">
        <f t="shared" si="1"/>
        <v>----</v>
      </c>
    </row>
    <row r="10" spans="1:10">
      <c r="A10" s="88"/>
      <c r="B10" s="101"/>
      <c r="C10" s="82"/>
      <c r="D10" s="431"/>
      <c r="E10" s="471"/>
      <c r="F10" s="472" t="str">
        <f t="shared" si="2"/>
        <v>----</v>
      </c>
      <c r="G10" s="471"/>
      <c r="H10" s="472" t="str">
        <f t="shared" si="0"/>
        <v>----</v>
      </c>
      <c r="I10" s="484"/>
      <c r="J10" s="83" t="str">
        <f t="shared" si="1"/>
        <v>----</v>
      </c>
    </row>
    <row r="11" spans="1:10">
      <c r="A11" s="88"/>
      <c r="B11" s="101"/>
      <c r="C11" s="82"/>
      <c r="D11" s="431"/>
      <c r="E11" s="471"/>
      <c r="F11" s="472" t="str">
        <f t="shared" si="2"/>
        <v>----</v>
      </c>
      <c r="G11" s="471"/>
      <c r="H11" s="472" t="str">
        <f t="shared" si="0"/>
        <v>----</v>
      </c>
      <c r="I11" s="484"/>
      <c r="J11" s="83" t="str">
        <f t="shared" si="1"/>
        <v>----</v>
      </c>
    </row>
    <row r="12" spans="1:10">
      <c r="A12" s="88"/>
      <c r="B12" s="101"/>
      <c r="C12" s="82"/>
      <c r="D12" s="431"/>
      <c r="E12" s="471"/>
      <c r="F12" s="472" t="str">
        <f t="shared" si="2"/>
        <v>----</v>
      </c>
      <c r="G12" s="471"/>
      <c r="H12" s="472" t="str">
        <f t="shared" si="0"/>
        <v>----</v>
      </c>
      <c r="I12" s="484"/>
      <c r="J12" s="83" t="str">
        <f t="shared" si="1"/>
        <v>----</v>
      </c>
    </row>
    <row r="13" spans="1:10">
      <c r="A13" s="88"/>
      <c r="B13" s="101"/>
      <c r="C13" s="82"/>
      <c r="D13" s="431"/>
      <c r="E13" s="471"/>
      <c r="F13" s="472" t="str">
        <f t="shared" si="2"/>
        <v>----</v>
      </c>
      <c r="G13" s="471"/>
      <c r="H13" s="472" t="str">
        <f t="shared" si="0"/>
        <v>----</v>
      </c>
      <c r="I13" s="484"/>
      <c r="J13" s="83" t="str">
        <f t="shared" si="1"/>
        <v>----</v>
      </c>
    </row>
    <row r="14" spans="1:10">
      <c r="A14" s="88"/>
      <c r="B14" s="101"/>
      <c r="C14" s="82"/>
      <c r="D14" s="431"/>
      <c r="E14" s="471"/>
      <c r="F14" s="472" t="str">
        <f t="shared" si="2"/>
        <v>----</v>
      </c>
      <c r="G14" s="471"/>
      <c r="H14" s="472" t="str">
        <f t="shared" si="0"/>
        <v>----</v>
      </c>
      <c r="I14" s="484"/>
      <c r="J14" s="83" t="str">
        <f t="shared" si="1"/>
        <v>----</v>
      </c>
    </row>
    <row r="15" spans="1:10">
      <c r="A15" s="88"/>
      <c r="B15" s="101"/>
      <c r="C15" s="82"/>
      <c r="D15" s="431"/>
      <c r="E15" s="471"/>
      <c r="F15" s="472" t="str">
        <f t="shared" si="2"/>
        <v>----</v>
      </c>
      <c r="G15" s="471"/>
      <c r="H15" s="472" t="str">
        <f t="shared" si="0"/>
        <v>----</v>
      </c>
      <c r="I15" s="484"/>
      <c r="J15" s="83" t="str">
        <f t="shared" si="1"/>
        <v>----</v>
      </c>
    </row>
    <row r="16" spans="1:10">
      <c r="A16" s="88"/>
      <c r="B16" s="101"/>
      <c r="C16" s="82"/>
      <c r="D16" s="431"/>
      <c r="E16" s="471"/>
      <c r="F16" s="472" t="str">
        <f t="shared" si="2"/>
        <v>----</v>
      </c>
      <c r="G16" s="471"/>
      <c r="H16" s="472" t="str">
        <f t="shared" si="0"/>
        <v>----</v>
      </c>
      <c r="I16" s="484"/>
      <c r="J16" s="83" t="str">
        <f t="shared" si="1"/>
        <v>----</v>
      </c>
    </row>
    <row r="17" spans="1:10">
      <c r="A17" s="88"/>
      <c r="B17" s="101"/>
      <c r="C17" s="82"/>
      <c r="D17" s="431"/>
      <c r="E17" s="471"/>
      <c r="F17" s="472" t="str">
        <f t="shared" si="2"/>
        <v>----</v>
      </c>
      <c r="G17" s="471"/>
      <c r="H17" s="472" t="str">
        <f t="shared" si="0"/>
        <v>----</v>
      </c>
      <c r="I17" s="484"/>
      <c r="J17" s="83" t="str">
        <f t="shared" si="1"/>
        <v>----</v>
      </c>
    </row>
    <row r="18" spans="1:10">
      <c r="A18" s="88"/>
      <c r="B18" s="101"/>
      <c r="C18" s="82"/>
      <c r="D18" s="431"/>
      <c r="E18" s="471"/>
      <c r="F18" s="472" t="str">
        <f t="shared" si="2"/>
        <v>----</v>
      </c>
      <c r="G18" s="471"/>
      <c r="H18" s="472" t="str">
        <f t="shared" si="0"/>
        <v>----</v>
      </c>
      <c r="I18" s="484"/>
      <c r="J18" s="83" t="str">
        <f t="shared" si="1"/>
        <v>----</v>
      </c>
    </row>
    <row r="19" spans="1:10">
      <c r="A19" s="88"/>
      <c r="B19" s="101"/>
      <c r="C19" s="82"/>
      <c r="D19" s="431"/>
      <c r="E19" s="471"/>
      <c r="F19" s="472" t="str">
        <f t="shared" si="2"/>
        <v>----</v>
      </c>
      <c r="G19" s="471"/>
      <c r="H19" s="472" t="str">
        <f t="shared" si="0"/>
        <v>----</v>
      </c>
      <c r="I19" s="484"/>
      <c r="J19" s="83" t="str">
        <f t="shared" si="1"/>
        <v>----</v>
      </c>
    </row>
    <row r="20" spans="1:10">
      <c r="A20" s="88"/>
      <c r="B20" s="101"/>
      <c r="C20" s="82"/>
      <c r="D20" s="431"/>
      <c r="E20" s="471"/>
      <c r="F20" s="472" t="str">
        <f t="shared" si="2"/>
        <v>----</v>
      </c>
      <c r="G20" s="471"/>
      <c r="H20" s="472" t="str">
        <f t="shared" si="0"/>
        <v>----</v>
      </c>
      <c r="I20" s="484"/>
      <c r="J20" s="83" t="str">
        <f t="shared" si="1"/>
        <v>----</v>
      </c>
    </row>
    <row r="21" spans="1:10">
      <c r="A21" s="91"/>
      <c r="B21" s="92"/>
      <c r="C21" s="84"/>
      <c r="D21" s="477"/>
      <c r="E21" s="482"/>
      <c r="F21" s="483" t="str">
        <f t="shared" si="2"/>
        <v>----</v>
      </c>
      <c r="G21" s="482"/>
      <c r="H21" s="483" t="str">
        <f t="shared" si="0"/>
        <v>----</v>
      </c>
      <c r="I21" s="480"/>
      <c r="J21" s="85" t="str">
        <f t="shared" si="1"/>
        <v>----</v>
      </c>
    </row>
    <row r="22" spans="1:10" ht="15.75" thickBot="1">
      <c r="A22" s="74"/>
      <c r="B22" s="75"/>
      <c r="C22" s="76"/>
      <c r="D22" s="430"/>
      <c r="E22" s="475"/>
      <c r="F22" s="476" t="str">
        <f t="shared" si="2"/>
        <v>----</v>
      </c>
      <c r="G22" s="475"/>
      <c r="H22" s="476" t="str">
        <f t="shared" si="0"/>
        <v>----</v>
      </c>
      <c r="I22" s="481"/>
      <c r="J22" s="77" t="str">
        <f t="shared" si="1"/>
        <v>----</v>
      </c>
    </row>
    <row r="23" spans="1:10" ht="15.75" thickBot="1">
      <c r="A23" s="27"/>
      <c r="B23" s="27"/>
      <c r="C23" s="28"/>
      <c r="D23" s="28"/>
      <c r="E23" s="439"/>
      <c r="F23" s="441">
        <f>SUM(F4:F22)</f>
        <v>34240.499999999971</v>
      </c>
      <c r="G23" s="439"/>
      <c r="H23" s="441">
        <f>SUM(H4:H22)</f>
        <v>2217.2200000000012</v>
      </c>
      <c r="I23" s="28"/>
      <c r="J23" s="69">
        <f>SUM(J4:J22)</f>
        <v>22918.799999999988</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7377-079E-44CA-BD31-60ADD8A38728}">
  <dimension ref="A1:J28"/>
  <sheetViews>
    <sheetView workbookViewId="0">
      <selection activeCell="D13" sqref="D13"/>
    </sheetView>
  </sheetViews>
  <sheetFormatPr defaultRowHeight="15"/>
  <cols>
    <col min="2" max="2" width="23.7109375" bestFit="1" customWidth="1"/>
    <col min="3" max="3" width="10.7109375" bestFit="1" customWidth="1"/>
    <col min="4" max="4" width="12.5703125" customWidth="1"/>
    <col min="5" max="5" width="10.7109375" style="432" bestFit="1" customWidth="1"/>
    <col min="6" max="6" width="12.85546875" style="432" customWidth="1"/>
    <col min="7" max="7" width="10.7109375" style="432" bestFit="1" customWidth="1"/>
    <col min="8" max="8" width="12.85546875" style="432" customWidth="1"/>
    <col min="9" max="9" width="10.7109375" bestFit="1" customWidth="1"/>
    <col min="10" max="10" width="12.85546875" customWidth="1"/>
  </cols>
  <sheetData>
    <row r="1" spans="1:10" ht="15.75" thickBot="1">
      <c r="A1" s="952" t="s">
        <v>231</v>
      </c>
      <c r="B1" s="953"/>
      <c r="C1" s="953"/>
      <c r="D1" s="953"/>
      <c r="E1" s="953"/>
      <c r="F1" s="953"/>
      <c r="G1" s="953"/>
      <c r="H1" s="953"/>
      <c r="I1" s="953"/>
      <c r="J1" s="954"/>
    </row>
    <row r="2" spans="1:10" s="432" customFormat="1">
      <c r="A2" s="959" t="s">
        <v>110</v>
      </c>
      <c r="B2" s="961" t="s">
        <v>111</v>
      </c>
      <c r="C2" s="961" t="s">
        <v>112</v>
      </c>
      <c r="D2" s="963" t="s">
        <v>120</v>
      </c>
      <c r="E2" s="957" t="s">
        <v>701</v>
      </c>
      <c r="F2" s="958"/>
      <c r="G2" s="957" t="s">
        <v>702</v>
      </c>
      <c r="H2" s="958"/>
      <c r="I2" s="932" t="s">
        <v>796</v>
      </c>
      <c r="J2" s="933"/>
    </row>
    <row r="3" spans="1:10" ht="46.5" thickBot="1">
      <c r="A3" s="960"/>
      <c r="B3" s="962"/>
      <c r="C3" s="962"/>
      <c r="D3" s="964"/>
      <c r="E3" s="460" t="s">
        <v>121</v>
      </c>
      <c r="F3" s="468" t="s">
        <v>704</v>
      </c>
      <c r="G3" s="460" t="s">
        <v>121</v>
      </c>
      <c r="H3" s="468" t="s">
        <v>704</v>
      </c>
      <c r="I3" s="478" t="s">
        <v>121</v>
      </c>
      <c r="J3" s="25" t="s">
        <v>704</v>
      </c>
    </row>
    <row r="4" spans="1:10">
      <c r="A4" s="70">
        <v>43942</v>
      </c>
      <c r="B4" s="71" t="s">
        <v>503</v>
      </c>
      <c r="C4" s="781">
        <v>374869.85</v>
      </c>
      <c r="D4" s="787">
        <f t="shared" ref="D4:D11" si="0">C4</f>
        <v>374869.85</v>
      </c>
      <c r="E4" s="794">
        <v>323487.43</v>
      </c>
      <c r="F4" s="803">
        <f>IF(ISBLANK(E4),"----",E4-$D4)</f>
        <v>-51382.419999999984</v>
      </c>
      <c r="G4" s="794" t="s">
        <v>703</v>
      </c>
      <c r="H4" s="803" t="str">
        <f t="shared" ref="H4:H27" si="1">IF(OR(G4="Complete",ISBLANK(G4)),"----",G4-$D4)</f>
        <v>----</v>
      </c>
      <c r="I4" s="791" t="s">
        <v>703</v>
      </c>
      <c r="J4" s="804" t="str">
        <f t="shared" ref="J4:J27" si="2">IF(OR(I4="Complete",ISBLANK(I4)),"----",I4-$D4)</f>
        <v>----</v>
      </c>
    </row>
    <row r="5" spans="1:10">
      <c r="A5" s="88">
        <v>44635</v>
      </c>
      <c r="B5" s="101" t="s">
        <v>502</v>
      </c>
      <c r="C5" s="784">
        <v>696218</v>
      </c>
      <c r="D5" s="788">
        <f t="shared" si="0"/>
        <v>696218</v>
      </c>
      <c r="E5" s="795">
        <v>672789.05</v>
      </c>
      <c r="F5" s="807">
        <f t="shared" ref="F5:F27" si="3">IF(ISBLANK(E5),"----",E5-$D5)</f>
        <v>-23428.949999999953</v>
      </c>
      <c r="G5" s="795" t="s">
        <v>703</v>
      </c>
      <c r="H5" s="807" t="str">
        <f t="shared" si="1"/>
        <v>----</v>
      </c>
      <c r="I5" s="792" t="s">
        <v>703</v>
      </c>
      <c r="J5" s="808" t="str">
        <f t="shared" si="2"/>
        <v>----</v>
      </c>
    </row>
    <row r="6" spans="1:10">
      <c r="A6" s="102">
        <v>45308</v>
      </c>
      <c r="B6" s="103" t="s">
        <v>717</v>
      </c>
      <c r="C6" s="770">
        <v>219642.95</v>
      </c>
      <c r="D6" s="729">
        <f t="shared" si="0"/>
        <v>219642.95</v>
      </c>
      <c r="E6" s="739"/>
      <c r="F6" s="771" t="str">
        <f t="shared" si="3"/>
        <v>----</v>
      </c>
      <c r="G6" s="739"/>
      <c r="H6" s="771" t="str">
        <f t="shared" si="1"/>
        <v>----</v>
      </c>
      <c r="I6" s="734"/>
      <c r="J6" s="772" t="str">
        <f t="shared" si="2"/>
        <v>----</v>
      </c>
    </row>
    <row r="7" spans="1:10">
      <c r="A7" s="102">
        <v>45308</v>
      </c>
      <c r="B7" s="103" t="s">
        <v>718</v>
      </c>
      <c r="C7" s="770">
        <v>210677.75</v>
      </c>
      <c r="D7" s="729">
        <f t="shared" si="0"/>
        <v>210677.75</v>
      </c>
      <c r="E7" s="739"/>
      <c r="F7" s="771" t="str">
        <f t="shared" si="3"/>
        <v>----</v>
      </c>
      <c r="G7" s="739"/>
      <c r="H7" s="771" t="str">
        <f t="shared" si="1"/>
        <v>----</v>
      </c>
      <c r="I7" s="734"/>
      <c r="J7" s="772" t="str">
        <f t="shared" si="2"/>
        <v>----</v>
      </c>
    </row>
    <row r="8" spans="1:10">
      <c r="A8" s="102">
        <v>45308</v>
      </c>
      <c r="B8" s="103" t="s">
        <v>719</v>
      </c>
      <c r="C8" s="770">
        <v>269286.05</v>
      </c>
      <c r="D8" s="729">
        <f t="shared" si="0"/>
        <v>269286.05</v>
      </c>
      <c r="E8" s="739"/>
      <c r="F8" s="771" t="str">
        <f t="shared" si="3"/>
        <v>----</v>
      </c>
      <c r="G8" s="739"/>
      <c r="H8" s="771" t="str">
        <f t="shared" si="1"/>
        <v>----</v>
      </c>
      <c r="I8" s="734"/>
      <c r="J8" s="772" t="str">
        <f t="shared" si="2"/>
        <v>----</v>
      </c>
    </row>
    <row r="9" spans="1:10">
      <c r="A9" s="970">
        <v>45679</v>
      </c>
      <c r="B9" s="721" t="s">
        <v>824</v>
      </c>
      <c r="C9" s="770">
        <v>286818.99</v>
      </c>
      <c r="D9" s="729">
        <f t="shared" si="0"/>
        <v>286818.99</v>
      </c>
      <c r="E9" s="739"/>
      <c r="F9" s="771" t="str">
        <f t="shared" si="3"/>
        <v>----</v>
      </c>
      <c r="G9" s="739"/>
      <c r="H9" s="771" t="str">
        <f t="shared" si="1"/>
        <v>----</v>
      </c>
      <c r="I9" s="734"/>
      <c r="J9" s="772" t="str">
        <f t="shared" si="2"/>
        <v>----</v>
      </c>
    </row>
    <row r="10" spans="1:10">
      <c r="A10" s="971"/>
      <c r="B10" s="721" t="s">
        <v>825</v>
      </c>
      <c r="C10" s="770">
        <v>313955.90000000002</v>
      </c>
      <c r="D10" s="729">
        <f t="shared" si="0"/>
        <v>313955.90000000002</v>
      </c>
      <c r="E10" s="739"/>
      <c r="F10" s="771" t="str">
        <f t="shared" si="3"/>
        <v>----</v>
      </c>
      <c r="G10" s="739"/>
      <c r="H10" s="771" t="str">
        <f t="shared" si="1"/>
        <v>----</v>
      </c>
      <c r="I10" s="734"/>
      <c r="J10" s="772" t="str">
        <f t="shared" si="2"/>
        <v>----</v>
      </c>
    </row>
    <row r="11" spans="1:10">
      <c r="A11" s="972"/>
      <c r="B11" s="721" t="s">
        <v>826</v>
      </c>
      <c r="C11" s="770">
        <v>277552.03999999998</v>
      </c>
      <c r="D11" s="729">
        <f t="shared" si="0"/>
        <v>277552.03999999998</v>
      </c>
      <c r="E11" s="739"/>
      <c r="F11" s="771" t="str">
        <f t="shared" si="3"/>
        <v>----</v>
      </c>
      <c r="G11" s="739"/>
      <c r="H11" s="771" t="str">
        <f t="shared" si="1"/>
        <v>----</v>
      </c>
      <c r="I11" s="734"/>
      <c r="J11" s="772" t="str">
        <f t="shared" si="2"/>
        <v>----</v>
      </c>
    </row>
    <row r="12" spans="1:10">
      <c r="A12" s="102">
        <v>45706</v>
      </c>
      <c r="B12" s="721" t="s">
        <v>837</v>
      </c>
      <c r="C12" s="770">
        <v>449198.75</v>
      </c>
      <c r="D12" s="729">
        <f>C12</f>
        <v>449198.75</v>
      </c>
      <c r="E12" s="739"/>
      <c r="F12" s="771" t="str">
        <f t="shared" si="3"/>
        <v>----</v>
      </c>
      <c r="G12" s="739"/>
      <c r="H12" s="771" t="str">
        <f t="shared" si="1"/>
        <v>----</v>
      </c>
      <c r="I12" s="734"/>
      <c r="J12" s="772" t="str">
        <f t="shared" si="2"/>
        <v>----</v>
      </c>
    </row>
    <row r="13" spans="1:10">
      <c r="A13" s="102"/>
      <c r="B13" s="103"/>
      <c r="C13" s="770"/>
      <c r="D13" s="729"/>
      <c r="E13" s="739"/>
      <c r="F13" s="771" t="str">
        <f t="shared" si="3"/>
        <v>----</v>
      </c>
      <c r="G13" s="739"/>
      <c r="H13" s="771" t="str">
        <f t="shared" si="1"/>
        <v>----</v>
      </c>
      <c r="I13" s="734"/>
      <c r="J13" s="772" t="str">
        <f t="shared" si="2"/>
        <v>----</v>
      </c>
    </row>
    <row r="14" spans="1:10">
      <c r="A14" s="102"/>
      <c r="B14" s="103"/>
      <c r="C14" s="770"/>
      <c r="D14" s="729"/>
      <c r="E14" s="739"/>
      <c r="F14" s="771" t="str">
        <f t="shared" si="3"/>
        <v>----</v>
      </c>
      <c r="G14" s="739"/>
      <c r="H14" s="771" t="str">
        <f t="shared" si="1"/>
        <v>----</v>
      </c>
      <c r="I14" s="734"/>
      <c r="J14" s="772" t="str">
        <f t="shared" si="2"/>
        <v>----</v>
      </c>
    </row>
    <row r="15" spans="1:10">
      <c r="A15" s="102"/>
      <c r="B15" s="103"/>
      <c r="C15" s="770"/>
      <c r="D15" s="729"/>
      <c r="E15" s="739"/>
      <c r="F15" s="771" t="str">
        <f t="shared" si="3"/>
        <v>----</v>
      </c>
      <c r="G15" s="739"/>
      <c r="H15" s="771" t="str">
        <f t="shared" si="1"/>
        <v>----</v>
      </c>
      <c r="I15" s="734"/>
      <c r="J15" s="772" t="str">
        <f t="shared" si="2"/>
        <v>----</v>
      </c>
    </row>
    <row r="16" spans="1:10">
      <c r="A16" s="102"/>
      <c r="B16" s="103"/>
      <c r="C16" s="770"/>
      <c r="D16" s="729"/>
      <c r="E16" s="739"/>
      <c r="F16" s="771" t="str">
        <f t="shared" si="3"/>
        <v>----</v>
      </c>
      <c r="G16" s="739"/>
      <c r="H16" s="771" t="str">
        <f t="shared" si="1"/>
        <v>----</v>
      </c>
      <c r="I16" s="734"/>
      <c r="J16" s="772" t="str">
        <f t="shared" si="2"/>
        <v>----</v>
      </c>
    </row>
    <row r="17" spans="1:10">
      <c r="A17" s="102"/>
      <c r="B17" s="103"/>
      <c r="C17" s="770"/>
      <c r="D17" s="729"/>
      <c r="E17" s="739"/>
      <c r="F17" s="771" t="str">
        <f t="shared" si="3"/>
        <v>----</v>
      </c>
      <c r="G17" s="739"/>
      <c r="H17" s="771" t="str">
        <f t="shared" si="1"/>
        <v>----</v>
      </c>
      <c r="I17" s="734"/>
      <c r="J17" s="772" t="str">
        <f t="shared" si="2"/>
        <v>----</v>
      </c>
    </row>
    <row r="18" spans="1:10">
      <c r="A18" s="102"/>
      <c r="B18" s="103"/>
      <c r="C18" s="770"/>
      <c r="D18" s="729"/>
      <c r="E18" s="739"/>
      <c r="F18" s="771" t="str">
        <f t="shared" si="3"/>
        <v>----</v>
      </c>
      <c r="G18" s="739"/>
      <c r="H18" s="771" t="str">
        <f t="shared" si="1"/>
        <v>----</v>
      </c>
      <c r="I18" s="734"/>
      <c r="J18" s="772" t="str">
        <f t="shared" si="2"/>
        <v>----</v>
      </c>
    </row>
    <row r="19" spans="1:10">
      <c r="A19" s="102"/>
      <c r="B19" s="103"/>
      <c r="C19" s="770"/>
      <c r="D19" s="729"/>
      <c r="E19" s="739"/>
      <c r="F19" s="771" t="str">
        <f t="shared" si="3"/>
        <v>----</v>
      </c>
      <c r="G19" s="739"/>
      <c r="H19" s="771" t="str">
        <f t="shared" si="1"/>
        <v>----</v>
      </c>
      <c r="I19" s="734"/>
      <c r="J19" s="772" t="str">
        <f t="shared" si="2"/>
        <v>----</v>
      </c>
    </row>
    <row r="20" spans="1:10">
      <c r="A20" s="102"/>
      <c r="B20" s="103"/>
      <c r="C20" s="770"/>
      <c r="D20" s="729"/>
      <c r="E20" s="739"/>
      <c r="F20" s="771" t="str">
        <f t="shared" si="3"/>
        <v>----</v>
      </c>
      <c r="G20" s="739"/>
      <c r="H20" s="771" t="str">
        <f t="shared" si="1"/>
        <v>----</v>
      </c>
      <c r="I20" s="734"/>
      <c r="J20" s="772" t="str">
        <f t="shared" si="2"/>
        <v>----</v>
      </c>
    </row>
    <row r="21" spans="1:10">
      <c r="A21" s="102"/>
      <c r="B21" s="103"/>
      <c r="C21" s="770"/>
      <c r="D21" s="729"/>
      <c r="E21" s="739"/>
      <c r="F21" s="771" t="str">
        <f t="shared" si="3"/>
        <v>----</v>
      </c>
      <c r="G21" s="739"/>
      <c r="H21" s="771" t="str">
        <f t="shared" si="1"/>
        <v>----</v>
      </c>
      <c r="I21" s="734"/>
      <c r="J21" s="772" t="str">
        <f t="shared" si="2"/>
        <v>----</v>
      </c>
    </row>
    <row r="22" spans="1:10">
      <c r="A22" s="102"/>
      <c r="B22" s="103"/>
      <c r="C22" s="770"/>
      <c r="D22" s="729"/>
      <c r="E22" s="739"/>
      <c r="F22" s="771" t="str">
        <f t="shared" si="3"/>
        <v>----</v>
      </c>
      <c r="G22" s="739"/>
      <c r="H22" s="771" t="str">
        <f t="shared" si="1"/>
        <v>----</v>
      </c>
      <c r="I22" s="734"/>
      <c r="J22" s="772" t="str">
        <f t="shared" si="2"/>
        <v>----</v>
      </c>
    </row>
    <row r="23" spans="1:10">
      <c r="A23" s="102"/>
      <c r="B23" s="103"/>
      <c r="C23" s="770"/>
      <c r="D23" s="729"/>
      <c r="E23" s="739"/>
      <c r="F23" s="771" t="str">
        <f t="shared" si="3"/>
        <v>----</v>
      </c>
      <c r="G23" s="739"/>
      <c r="H23" s="771" t="str">
        <f t="shared" si="1"/>
        <v>----</v>
      </c>
      <c r="I23" s="734"/>
      <c r="J23" s="772" t="str">
        <f t="shared" si="2"/>
        <v>----</v>
      </c>
    </row>
    <row r="24" spans="1:10">
      <c r="A24" s="102"/>
      <c r="B24" s="103"/>
      <c r="C24" s="770"/>
      <c r="D24" s="729"/>
      <c r="E24" s="739"/>
      <c r="F24" s="771" t="str">
        <f t="shared" si="3"/>
        <v>----</v>
      </c>
      <c r="G24" s="739"/>
      <c r="H24" s="771" t="str">
        <f t="shared" si="1"/>
        <v>----</v>
      </c>
      <c r="I24" s="734"/>
      <c r="J24" s="772" t="str">
        <f t="shared" si="2"/>
        <v>----</v>
      </c>
    </row>
    <row r="25" spans="1:10">
      <c r="A25" s="102"/>
      <c r="B25" s="103"/>
      <c r="C25" s="770"/>
      <c r="D25" s="729"/>
      <c r="E25" s="739"/>
      <c r="F25" s="771" t="str">
        <f t="shared" si="3"/>
        <v>----</v>
      </c>
      <c r="G25" s="739"/>
      <c r="H25" s="771" t="str">
        <f t="shared" si="1"/>
        <v>----</v>
      </c>
      <c r="I25" s="734"/>
      <c r="J25" s="772" t="str">
        <f t="shared" si="2"/>
        <v>----</v>
      </c>
    </row>
    <row r="26" spans="1:10">
      <c r="A26" s="116"/>
      <c r="B26" s="117"/>
      <c r="C26" s="773"/>
      <c r="D26" s="789"/>
      <c r="E26" s="740"/>
      <c r="F26" s="774" t="str">
        <f t="shared" si="3"/>
        <v>----</v>
      </c>
      <c r="G26" s="740"/>
      <c r="H26" s="774" t="str">
        <f t="shared" si="1"/>
        <v>----</v>
      </c>
      <c r="I26" s="735"/>
      <c r="J26" s="775" t="str">
        <f t="shared" si="2"/>
        <v>----</v>
      </c>
    </row>
    <row r="27" spans="1:10" ht="15.75" thickBot="1">
      <c r="A27" s="74"/>
      <c r="B27" s="75"/>
      <c r="C27" s="783"/>
      <c r="D27" s="790"/>
      <c r="E27" s="796"/>
      <c r="F27" s="801" t="str">
        <f t="shared" si="3"/>
        <v>----</v>
      </c>
      <c r="G27" s="796"/>
      <c r="H27" s="801" t="str">
        <f t="shared" si="1"/>
        <v>----</v>
      </c>
      <c r="I27" s="793"/>
      <c r="J27" s="802" t="str">
        <f t="shared" si="2"/>
        <v>----</v>
      </c>
    </row>
    <row r="28" spans="1:10" ht="15.75" thickBot="1">
      <c r="A28" s="27"/>
      <c r="B28" s="27"/>
      <c r="C28" s="814"/>
      <c r="D28" s="814"/>
      <c r="E28" s="814"/>
      <c r="F28" s="815">
        <f>SUM(F4:F27)</f>
        <v>-74811.369999999937</v>
      </c>
      <c r="G28" s="814"/>
      <c r="H28" s="815">
        <f>SUM(H4:H27)</f>
        <v>0</v>
      </c>
      <c r="I28" s="814"/>
      <c r="J28" s="815">
        <f>SUM(J4:J27)</f>
        <v>0</v>
      </c>
    </row>
  </sheetData>
  <mergeCells count="9">
    <mergeCell ref="A9:A11"/>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F2B17-2F0F-49C7-963B-7C89C9ACDD0F}">
  <dimension ref="A1:K25"/>
  <sheetViews>
    <sheetView workbookViewId="0">
      <selection activeCell="D10" sqref="D10"/>
    </sheetView>
  </sheetViews>
  <sheetFormatPr defaultRowHeight="15"/>
  <cols>
    <col min="2" max="2" width="22.85546875" bestFit="1" customWidth="1"/>
    <col min="3" max="4" width="10.7109375" bestFit="1" customWidth="1"/>
    <col min="5" max="5" width="10.7109375" style="432" bestFit="1" customWidth="1"/>
    <col min="6" max="6" width="10.42578125" style="432" bestFit="1" customWidth="1"/>
    <col min="7" max="7" width="10.7109375" style="432" bestFit="1" customWidth="1"/>
    <col min="8" max="8" width="10.42578125" style="432" bestFit="1" customWidth="1"/>
    <col min="9" max="9" width="10.7109375" bestFit="1" customWidth="1"/>
    <col min="10" max="10" width="10.42578125" bestFit="1" customWidth="1"/>
  </cols>
  <sheetData>
    <row r="1" spans="1:11" ht="15.75" thickBot="1">
      <c r="A1" s="952" t="s">
        <v>264</v>
      </c>
      <c r="B1" s="953"/>
      <c r="C1" s="953"/>
      <c r="D1" s="953"/>
      <c r="E1" s="953"/>
      <c r="F1" s="953"/>
      <c r="G1" s="953"/>
      <c r="H1" s="953"/>
      <c r="I1" s="953"/>
      <c r="J1" s="954"/>
    </row>
    <row r="2" spans="1:11" s="432" customFormat="1">
      <c r="A2" s="959" t="s">
        <v>110</v>
      </c>
      <c r="B2" s="961" t="s">
        <v>111</v>
      </c>
      <c r="C2" s="961" t="s">
        <v>112</v>
      </c>
      <c r="D2" s="963" t="s">
        <v>120</v>
      </c>
      <c r="E2" s="957" t="s">
        <v>701</v>
      </c>
      <c r="F2" s="958"/>
      <c r="G2" s="957" t="s">
        <v>702</v>
      </c>
      <c r="H2" s="958"/>
      <c r="I2" s="932" t="s">
        <v>796</v>
      </c>
      <c r="J2" s="933"/>
    </row>
    <row r="3" spans="1:11" ht="57.75" thickBot="1">
      <c r="A3" s="960"/>
      <c r="B3" s="962"/>
      <c r="C3" s="962"/>
      <c r="D3" s="964"/>
      <c r="E3" s="460" t="s">
        <v>121</v>
      </c>
      <c r="F3" s="468" t="s">
        <v>704</v>
      </c>
      <c r="G3" s="460" t="s">
        <v>121</v>
      </c>
      <c r="H3" s="468" t="s">
        <v>704</v>
      </c>
      <c r="I3" s="478" t="s">
        <v>121</v>
      </c>
      <c r="J3" s="25" t="s">
        <v>704</v>
      </c>
    </row>
    <row r="4" spans="1:11">
      <c r="A4" s="70">
        <v>44124</v>
      </c>
      <c r="B4" s="71" t="s">
        <v>314</v>
      </c>
      <c r="C4" s="72">
        <v>557106.05000000005</v>
      </c>
      <c r="D4" s="429">
        <f>C4</f>
        <v>557106.05000000005</v>
      </c>
      <c r="E4" s="469">
        <v>549318.63</v>
      </c>
      <c r="F4" s="470">
        <f>IF(ISBLANK(E4),"----",E4-$D4)</f>
        <v>-7787.4200000000419</v>
      </c>
      <c r="G4" s="469" t="s">
        <v>703</v>
      </c>
      <c r="H4" s="470" t="str">
        <f t="shared" ref="H4:H24" si="0">IF(OR(G4="Complete",ISBLANK(G4)),"----",G4-$D4)</f>
        <v>----</v>
      </c>
      <c r="I4" s="479" t="s">
        <v>703</v>
      </c>
      <c r="J4" s="73" t="str">
        <f t="shared" ref="J4:J24" si="1">IF(OR(I4="Complete",ISBLANK(I4)),"----",I4-$D4)</f>
        <v>----</v>
      </c>
    </row>
    <row r="5" spans="1:11">
      <c r="A5" s="88">
        <v>44153</v>
      </c>
      <c r="B5" s="101" t="s">
        <v>331</v>
      </c>
      <c r="C5" s="82">
        <v>569928.39</v>
      </c>
      <c r="D5" s="431">
        <f>C5</f>
        <v>569928.39</v>
      </c>
      <c r="E5" s="471">
        <v>566691.59</v>
      </c>
      <c r="F5" s="472">
        <f t="shared" ref="F5:F24" si="2">IF(ISBLANK(E5),"----",E5-$D5)</f>
        <v>-3236.8000000000466</v>
      </c>
      <c r="G5" s="471" t="s">
        <v>703</v>
      </c>
      <c r="H5" s="472" t="str">
        <f t="shared" si="0"/>
        <v>----</v>
      </c>
      <c r="I5" s="484" t="s">
        <v>703</v>
      </c>
      <c r="J5" s="83" t="str">
        <f t="shared" si="1"/>
        <v>----</v>
      </c>
    </row>
    <row r="6" spans="1:11">
      <c r="A6" s="102">
        <v>44516</v>
      </c>
      <c r="B6" s="103" t="s">
        <v>464</v>
      </c>
      <c r="C6" s="87">
        <v>858677.35</v>
      </c>
      <c r="D6" s="466">
        <f>C6</f>
        <v>858677.35</v>
      </c>
      <c r="E6" s="473"/>
      <c r="F6" s="485" t="str">
        <f t="shared" si="2"/>
        <v>----</v>
      </c>
      <c r="G6" s="473">
        <v>849466.78</v>
      </c>
      <c r="H6" s="485">
        <f t="shared" si="0"/>
        <v>-9210.5699999999488</v>
      </c>
      <c r="I6" s="486" t="s">
        <v>703</v>
      </c>
      <c r="J6" s="115" t="str">
        <f t="shared" si="1"/>
        <v>----</v>
      </c>
    </row>
    <row r="7" spans="1:11">
      <c r="A7" s="102">
        <v>44880</v>
      </c>
      <c r="B7" s="103" t="s">
        <v>591</v>
      </c>
      <c r="C7" s="87">
        <v>649706.69999999995</v>
      </c>
      <c r="D7" s="466">
        <f>C7</f>
        <v>649706.69999999995</v>
      </c>
      <c r="E7" s="473"/>
      <c r="F7" s="485" t="str">
        <f t="shared" si="2"/>
        <v>----</v>
      </c>
      <c r="G7" s="473"/>
      <c r="H7" s="485" t="str">
        <f t="shared" si="0"/>
        <v>----</v>
      </c>
      <c r="I7" s="486"/>
      <c r="J7" s="115" t="str">
        <f t="shared" si="1"/>
        <v>----</v>
      </c>
    </row>
    <row r="8" spans="1:11">
      <c r="A8" s="102">
        <v>45308</v>
      </c>
      <c r="B8" s="103" t="s">
        <v>708</v>
      </c>
      <c r="C8" s="87">
        <v>684652.45</v>
      </c>
      <c r="D8" s="466">
        <v>0</v>
      </c>
      <c r="E8" s="473"/>
      <c r="F8" s="485" t="str">
        <f t="shared" si="2"/>
        <v>----</v>
      </c>
      <c r="G8" s="473"/>
      <c r="H8" s="485" t="str">
        <f t="shared" si="0"/>
        <v>----</v>
      </c>
      <c r="I8" s="486"/>
      <c r="J8" s="115" t="str">
        <f t="shared" si="1"/>
        <v>----</v>
      </c>
      <c r="K8" t="s">
        <v>709</v>
      </c>
    </row>
    <row r="9" spans="1:11">
      <c r="A9" s="102">
        <v>45888</v>
      </c>
      <c r="B9" s="721" t="s">
        <v>895</v>
      </c>
      <c r="C9" s="593">
        <v>679924.15</v>
      </c>
      <c r="D9" s="594">
        <f>C9</f>
        <v>679924.15</v>
      </c>
      <c r="E9" s="473"/>
      <c r="F9" s="485" t="str">
        <f t="shared" si="2"/>
        <v>----</v>
      </c>
      <c r="G9" s="473"/>
      <c r="H9" s="485" t="str">
        <f t="shared" si="0"/>
        <v>----</v>
      </c>
      <c r="I9" s="486"/>
      <c r="J9" s="115" t="str">
        <f t="shared" si="1"/>
        <v>----</v>
      </c>
    </row>
    <row r="10" spans="1:11">
      <c r="A10" s="102"/>
      <c r="B10" s="103"/>
      <c r="C10" s="87"/>
      <c r="D10" s="466"/>
      <c r="E10" s="473"/>
      <c r="F10" s="485" t="str">
        <f t="shared" si="2"/>
        <v>----</v>
      </c>
      <c r="G10" s="473"/>
      <c r="H10" s="485" t="str">
        <f t="shared" si="0"/>
        <v>----</v>
      </c>
      <c r="I10" s="486"/>
      <c r="J10" s="115" t="str">
        <f t="shared" si="1"/>
        <v>----</v>
      </c>
    </row>
    <row r="11" spans="1:11">
      <c r="A11" s="102"/>
      <c r="B11" s="103"/>
      <c r="C11" s="87"/>
      <c r="D11" s="466"/>
      <c r="E11" s="473"/>
      <c r="F11" s="485" t="str">
        <f t="shared" si="2"/>
        <v>----</v>
      </c>
      <c r="G11" s="473"/>
      <c r="H11" s="485" t="str">
        <f t="shared" si="0"/>
        <v>----</v>
      </c>
      <c r="I11" s="486"/>
      <c r="J11" s="115" t="str">
        <f t="shared" si="1"/>
        <v>----</v>
      </c>
    </row>
    <row r="12" spans="1:11">
      <c r="A12" s="102"/>
      <c r="B12" s="103"/>
      <c r="C12" s="87"/>
      <c r="D12" s="466"/>
      <c r="E12" s="473"/>
      <c r="F12" s="485" t="str">
        <f t="shared" si="2"/>
        <v>----</v>
      </c>
      <c r="G12" s="473"/>
      <c r="H12" s="485" t="str">
        <f t="shared" si="0"/>
        <v>----</v>
      </c>
      <c r="I12" s="486"/>
      <c r="J12" s="115" t="str">
        <f t="shared" si="1"/>
        <v>----</v>
      </c>
    </row>
    <row r="13" spans="1:11">
      <c r="A13" s="102"/>
      <c r="B13" s="103"/>
      <c r="C13" s="87"/>
      <c r="D13" s="466"/>
      <c r="E13" s="473"/>
      <c r="F13" s="485" t="str">
        <f t="shared" si="2"/>
        <v>----</v>
      </c>
      <c r="G13" s="473"/>
      <c r="H13" s="485" t="str">
        <f t="shared" si="0"/>
        <v>----</v>
      </c>
      <c r="I13" s="486"/>
      <c r="J13" s="115" t="str">
        <f t="shared" si="1"/>
        <v>----</v>
      </c>
    </row>
    <row r="14" spans="1:11">
      <c r="A14" s="102"/>
      <c r="B14" s="103"/>
      <c r="C14" s="87"/>
      <c r="D14" s="466"/>
      <c r="E14" s="473"/>
      <c r="F14" s="485" t="str">
        <f t="shared" si="2"/>
        <v>----</v>
      </c>
      <c r="G14" s="473"/>
      <c r="H14" s="485" t="str">
        <f t="shared" si="0"/>
        <v>----</v>
      </c>
      <c r="I14" s="486"/>
      <c r="J14" s="115" t="str">
        <f t="shared" si="1"/>
        <v>----</v>
      </c>
    </row>
    <row r="15" spans="1:11">
      <c r="A15" s="102"/>
      <c r="B15" s="103"/>
      <c r="C15" s="87"/>
      <c r="D15" s="466"/>
      <c r="E15" s="473"/>
      <c r="F15" s="485" t="str">
        <f t="shared" si="2"/>
        <v>----</v>
      </c>
      <c r="G15" s="473"/>
      <c r="H15" s="485" t="str">
        <f t="shared" si="0"/>
        <v>----</v>
      </c>
      <c r="I15" s="486"/>
      <c r="J15" s="115" t="str">
        <f t="shared" si="1"/>
        <v>----</v>
      </c>
    </row>
    <row r="16" spans="1:11">
      <c r="A16" s="102"/>
      <c r="B16" s="103"/>
      <c r="C16" s="87"/>
      <c r="D16" s="466"/>
      <c r="E16" s="473"/>
      <c r="F16" s="485" t="str">
        <f t="shared" si="2"/>
        <v>----</v>
      </c>
      <c r="G16" s="473"/>
      <c r="H16" s="485" t="str">
        <f t="shared" si="0"/>
        <v>----</v>
      </c>
      <c r="I16" s="486"/>
      <c r="J16" s="115" t="str">
        <f t="shared" si="1"/>
        <v>----</v>
      </c>
    </row>
    <row r="17" spans="1:10">
      <c r="A17" s="102"/>
      <c r="B17" s="103"/>
      <c r="C17" s="87"/>
      <c r="D17" s="466"/>
      <c r="E17" s="473"/>
      <c r="F17" s="485" t="str">
        <f t="shared" si="2"/>
        <v>----</v>
      </c>
      <c r="G17" s="473"/>
      <c r="H17" s="485" t="str">
        <f t="shared" si="0"/>
        <v>----</v>
      </c>
      <c r="I17" s="486"/>
      <c r="J17" s="115" t="str">
        <f t="shared" si="1"/>
        <v>----</v>
      </c>
    </row>
    <row r="18" spans="1:10">
      <c r="A18" s="102"/>
      <c r="B18" s="103"/>
      <c r="C18" s="87"/>
      <c r="D18" s="466"/>
      <c r="E18" s="473"/>
      <c r="F18" s="485" t="str">
        <f t="shared" si="2"/>
        <v>----</v>
      </c>
      <c r="G18" s="473"/>
      <c r="H18" s="485" t="str">
        <f t="shared" si="0"/>
        <v>----</v>
      </c>
      <c r="I18" s="486"/>
      <c r="J18" s="115" t="str">
        <f t="shared" si="1"/>
        <v>----</v>
      </c>
    </row>
    <row r="19" spans="1:10">
      <c r="A19" s="102"/>
      <c r="B19" s="103"/>
      <c r="C19" s="87"/>
      <c r="D19" s="466"/>
      <c r="E19" s="473"/>
      <c r="F19" s="485" t="str">
        <f t="shared" si="2"/>
        <v>----</v>
      </c>
      <c r="G19" s="473"/>
      <c r="H19" s="485" t="str">
        <f t="shared" si="0"/>
        <v>----</v>
      </c>
      <c r="I19" s="486"/>
      <c r="J19" s="115" t="str">
        <f t="shared" si="1"/>
        <v>----</v>
      </c>
    </row>
    <row r="20" spans="1:10">
      <c r="A20" s="102"/>
      <c r="B20" s="103"/>
      <c r="C20" s="87"/>
      <c r="D20" s="466"/>
      <c r="E20" s="473"/>
      <c r="F20" s="485" t="str">
        <f t="shared" si="2"/>
        <v>----</v>
      </c>
      <c r="G20" s="473"/>
      <c r="H20" s="485" t="str">
        <f t="shared" si="0"/>
        <v>----</v>
      </c>
      <c r="I20" s="486"/>
      <c r="J20" s="115" t="str">
        <f t="shared" si="1"/>
        <v>----</v>
      </c>
    </row>
    <row r="21" spans="1:10">
      <c r="A21" s="102"/>
      <c r="B21" s="103"/>
      <c r="C21" s="87"/>
      <c r="D21" s="466"/>
      <c r="E21" s="473"/>
      <c r="F21" s="485" t="str">
        <f t="shared" si="2"/>
        <v>----</v>
      </c>
      <c r="G21" s="473"/>
      <c r="H21" s="485" t="str">
        <f t="shared" si="0"/>
        <v>----</v>
      </c>
      <c r="I21" s="486"/>
      <c r="J21" s="115" t="str">
        <f t="shared" si="1"/>
        <v>----</v>
      </c>
    </row>
    <row r="22" spans="1:10">
      <c r="A22" s="102"/>
      <c r="B22" s="103"/>
      <c r="C22" s="87"/>
      <c r="D22" s="466"/>
      <c r="E22" s="473"/>
      <c r="F22" s="485" t="str">
        <f t="shared" si="2"/>
        <v>----</v>
      </c>
      <c r="G22" s="473"/>
      <c r="H22" s="485" t="str">
        <f t="shared" si="0"/>
        <v>----</v>
      </c>
      <c r="I22" s="486"/>
      <c r="J22" s="115" t="str">
        <f t="shared" si="1"/>
        <v>----</v>
      </c>
    </row>
    <row r="23" spans="1:10">
      <c r="A23" s="102"/>
      <c r="B23" s="103"/>
      <c r="C23" s="87"/>
      <c r="D23" s="466"/>
      <c r="E23" s="473"/>
      <c r="F23" s="485" t="str">
        <f t="shared" si="2"/>
        <v>----</v>
      </c>
      <c r="G23" s="473"/>
      <c r="H23" s="485" t="str">
        <f t="shared" si="0"/>
        <v>----</v>
      </c>
      <c r="I23" s="486"/>
      <c r="J23" s="115" t="str">
        <f t="shared" si="1"/>
        <v>----</v>
      </c>
    </row>
    <row r="24" spans="1:10" ht="15.75" thickBot="1">
      <c r="A24" s="228"/>
      <c r="B24" s="78"/>
      <c r="C24" s="79"/>
      <c r="D24" s="546"/>
      <c r="E24" s="548"/>
      <c r="F24" s="549" t="str">
        <f t="shared" si="2"/>
        <v>----</v>
      </c>
      <c r="G24" s="548"/>
      <c r="H24" s="549" t="str">
        <f t="shared" si="0"/>
        <v>----</v>
      </c>
      <c r="I24" s="547"/>
      <c r="J24" s="80" t="str">
        <f t="shared" si="1"/>
        <v>----</v>
      </c>
    </row>
    <row r="25" spans="1:10" ht="15.75" thickBot="1">
      <c r="A25" s="27"/>
      <c r="B25" s="27"/>
      <c r="C25" s="28"/>
      <c r="D25" s="28"/>
      <c r="E25" s="439"/>
      <c r="F25" s="441">
        <f>SUM(F4:F24)</f>
        <v>-11024.220000000088</v>
      </c>
      <c r="G25" s="439"/>
      <c r="H25" s="441">
        <f>SUM(H4:H24)</f>
        <v>-9210.5699999999488</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59E8-AE88-4219-9C0D-772CFA21B82B}">
  <dimension ref="A1:J18"/>
  <sheetViews>
    <sheetView workbookViewId="0">
      <selection activeCell="I8" sqref="I8"/>
    </sheetView>
  </sheetViews>
  <sheetFormatPr defaultRowHeight="15"/>
  <cols>
    <col min="2" max="2" width="22.85546875" bestFit="1" customWidth="1"/>
    <col min="3" max="4" width="12" bestFit="1" customWidth="1"/>
    <col min="5" max="5" width="10.7109375" style="432" bestFit="1" customWidth="1"/>
    <col min="6" max="6" width="11.5703125" style="432" customWidth="1"/>
    <col min="7" max="7" width="12" style="432" bestFit="1" customWidth="1"/>
    <col min="8" max="8" width="11.5703125" style="432" customWidth="1"/>
    <col min="9" max="9" width="12" bestFit="1" customWidth="1"/>
    <col min="10" max="10" width="11.5703125" customWidth="1"/>
  </cols>
  <sheetData>
    <row r="1" spans="1:10" ht="15.75" thickBot="1">
      <c r="A1" s="952" t="s">
        <v>265</v>
      </c>
      <c r="B1" s="953"/>
      <c r="C1" s="953"/>
      <c r="D1" s="953"/>
      <c r="E1" s="953"/>
      <c r="F1" s="953"/>
      <c r="G1" s="953"/>
      <c r="H1" s="953"/>
      <c r="I1" s="953"/>
      <c r="J1" s="954"/>
    </row>
    <row r="2" spans="1:10" s="432" customFormat="1">
      <c r="A2" s="959" t="s">
        <v>110</v>
      </c>
      <c r="B2" s="961" t="s">
        <v>111</v>
      </c>
      <c r="C2" s="961" t="s">
        <v>112</v>
      </c>
      <c r="D2" s="963" t="s">
        <v>120</v>
      </c>
      <c r="E2" s="957" t="s">
        <v>701</v>
      </c>
      <c r="F2" s="958"/>
      <c r="G2" s="957" t="s">
        <v>702</v>
      </c>
      <c r="H2" s="958"/>
      <c r="I2" s="932" t="s">
        <v>796</v>
      </c>
      <c r="J2" s="933"/>
    </row>
    <row r="3" spans="1:10" ht="57.75" thickBot="1">
      <c r="A3" s="960"/>
      <c r="B3" s="962"/>
      <c r="C3" s="962"/>
      <c r="D3" s="964"/>
      <c r="E3" s="460" t="s">
        <v>121</v>
      </c>
      <c r="F3" s="468" t="s">
        <v>704</v>
      </c>
      <c r="G3" s="460" t="s">
        <v>121</v>
      </c>
      <c r="H3" s="468" t="s">
        <v>704</v>
      </c>
      <c r="I3" s="478" t="s">
        <v>121</v>
      </c>
      <c r="J3" s="25" t="s">
        <v>704</v>
      </c>
    </row>
    <row r="4" spans="1:10">
      <c r="A4" s="70">
        <v>44520</v>
      </c>
      <c r="B4" s="71" t="s">
        <v>376</v>
      </c>
      <c r="C4" s="72">
        <v>646553.59999999998</v>
      </c>
      <c r="D4" s="429">
        <f>C4</f>
        <v>646553.59999999998</v>
      </c>
      <c r="E4" s="469">
        <v>645798.68000000005</v>
      </c>
      <c r="F4" s="470">
        <f>IF(ISBLANK(E4),"----",E4-$D4)</f>
        <v>-754.91999999992549</v>
      </c>
      <c r="G4" s="469" t="s">
        <v>703</v>
      </c>
      <c r="H4" s="470" t="str">
        <f t="shared" ref="H4:H17" si="0">IF(OR(G4="Complete",ISBLANK(G4)),"----",G4-$D4)</f>
        <v>----</v>
      </c>
      <c r="I4" s="479" t="s">
        <v>703</v>
      </c>
      <c r="J4" s="73" t="str">
        <f t="shared" ref="J4:J17" si="1">IF(OR(I4="Complete",ISBLANK(I4)),"----",I4-$D4)</f>
        <v>----</v>
      </c>
    </row>
    <row r="5" spans="1:10">
      <c r="A5" s="88">
        <v>44488</v>
      </c>
      <c r="B5" s="101" t="s">
        <v>459</v>
      </c>
      <c r="C5" s="82">
        <v>1199626.81</v>
      </c>
      <c r="D5" s="431">
        <f>C5</f>
        <v>1199626.81</v>
      </c>
      <c r="E5" s="471"/>
      <c r="F5" s="472" t="str">
        <f t="shared" ref="F5:F17" si="2">IF(ISBLANK(E5),"----",E5-$D5)</f>
        <v>----</v>
      </c>
      <c r="G5" s="471">
        <v>1161644.83</v>
      </c>
      <c r="H5" s="472">
        <f t="shared" si="0"/>
        <v>-37981.979999999981</v>
      </c>
      <c r="I5" s="484" t="s">
        <v>703</v>
      </c>
      <c r="J5" s="83" t="str">
        <f t="shared" si="1"/>
        <v>----</v>
      </c>
    </row>
    <row r="6" spans="1:10">
      <c r="A6" s="91">
        <v>44733</v>
      </c>
      <c r="B6" s="92" t="s">
        <v>537</v>
      </c>
      <c r="C6" s="84">
        <v>1595719.15</v>
      </c>
      <c r="D6" s="477">
        <f>C6</f>
        <v>1595719.15</v>
      </c>
      <c r="E6" s="482"/>
      <c r="F6" s="483" t="str">
        <f t="shared" si="2"/>
        <v>----</v>
      </c>
      <c r="G6" s="482"/>
      <c r="H6" s="483" t="str">
        <f t="shared" si="0"/>
        <v>----</v>
      </c>
      <c r="I6" s="480"/>
      <c r="J6" s="85" t="str">
        <f t="shared" si="1"/>
        <v>----</v>
      </c>
    </row>
    <row r="7" spans="1:10">
      <c r="A7" s="88">
        <v>45342</v>
      </c>
      <c r="B7" s="448" t="s">
        <v>729</v>
      </c>
      <c r="C7" s="374">
        <v>144699.20000000001</v>
      </c>
      <c r="D7" s="560">
        <f>C7</f>
        <v>144699.20000000001</v>
      </c>
      <c r="E7" s="471"/>
      <c r="F7" s="472" t="str">
        <f t="shared" si="2"/>
        <v>----</v>
      </c>
      <c r="G7" s="471"/>
      <c r="H7" s="472" t="str">
        <f t="shared" si="0"/>
        <v>----</v>
      </c>
      <c r="I7" s="484">
        <v>172891</v>
      </c>
      <c r="J7" s="83">
        <f t="shared" si="1"/>
        <v>28191.799999999988</v>
      </c>
    </row>
    <row r="8" spans="1:10">
      <c r="A8" s="91"/>
      <c r="B8" s="92"/>
      <c r="C8" s="84"/>
      <c r="D8" s="477"/>
      <c r="E8" s="482"/>
      <c r="F8" s="483" t="str">
        <f t="shared" si="2"/>
        <v>----</v>
      </c>
      <c r="G8" s="482"/>
      <c r="H8" s="483" t="str">
        <f t="shared" si="0"/>
        <v>----</v>
      </c>
      <c r="I8" s="480"/>
      <c r="J8" s="85" t="str">
        <f t="shared" si="1"/>
        <v>----</v>
      </c>
    </row>
    <row r="9" spans="1:10">
      <c r="A9" s="88"/>
      <c r="B9" s="101"/>
      <c r="C9" s="82"/>
      <c r="D9" s="431"/>
      <c r="E9" s="471"/>
      <c r="F9" s="472" t="str">
        <f t="shared" si="2"/>
        <v>----</v>
      </c>
      <c r="G9" s="471"/>
      <c r="H9" s="472" t="str">
        <f t="shared" si="0"/>
        <v>----</v>
      </c>
      <c r="I9" s="484"/>
      <c r="J9" s="83" t="str">
        <f t="shared" si="1"/>
        <v>----</v>
      </c>
    </row>
    <row r="10" spans="1:10">
      <c r="A10" s="91"/>
      <c r="B10" s="92"/>
      <c r="C10" s="84"/>
      <c r="D10" s="477"/>
      <c r="E10" s="482"/>
      <c r="F10" s="483" t="str">
        <f t="shared" si="2"/>
        <v>----</v>
      </c>
      <c r="G10" s="482"/>
      <c r="H10" s="483" t="str">
        <f t="shared" si="0"/>
        <v>----</v>
      </c>
      <c r="I10" s="480"/>
      <c r="J10" s="85" t="str">
        <f t="shared" si="1"/>
        <v>----</v>
      </c>
    </row>
    <row r="11" spans="1:10">
      <c r="A11" s="88"/>
      <c r="B11" s="101"/>
      <c r="C11" s="82"/>
      <c r="D11" s="431"/>
      <c r="E11" s="471"/>
      <c r="F11" s="472" t="str">
        <f t="shared" si="2"/>
        <v>----</v>
      </c>
      <c r="G11" s="471"/>
      <c r="H11" s="472" t="str">
        <f t="shared" si="0"/>
        <v>----</v>
      </c>
      <c r="I11" s="484"/>
      <c r="J11" s="83" t="str">
        <f t="shared" si="1"/>
        <v>----</v>
      </c>
    </row>
    <row r="12" spans="1:10">
      <c r="A12" s="91"/>
      <c r="B12" s="92"/>
      <c r="C12" s="84"/>
      <c r="D12" s="477"/>
      <c r="E12" s="482"/>
      <c r="F12" s="483" t="str">
        <f t="shared" si="2"/>
        <v>----</v>
      </c>
      <c r="G12" s="482"/>
      <c r="H12" s="483" t="str">
        <f t="shared" si="0"/>
        <v>----</v>
      </c>
      <c r="I12" s="480"/>
      <c r="J12" s="85" t="str">
        <f t="shared" si="1"/>
        <v>----</v>
      </c>
    </row>
    <row r="13" spans="1:10">
      <c r="A13" s="88"/>
      <c r="B13" s="101"/>
      <c r="C13" s="82"/>
      <c r="D13" s="431"/>
      <c r="E13" s="471"/>
      <c r="F13" s="472" t="str">
        <f t="shared" si="2"/>
        <v>----</v>
      </c>
      <c r="G13" s="471"/>
      <c r="H13" s="472" t="str">
        <f t="shared" si="0"/>
        <v>----</v>
      </c>
      <c r="I13" s="484"/>
      <c r="J13" s="83" t="str">
        <f t="shared" si="1"/>
        <v>----</v>
      </c>
    </row>
    <row r="14" spans="1:10">
      <c r="A14" s="91"/>
      <c r="B14" s="92"/>
      <c r="C14" s="84"/>
      <c r="D14" s="477"/>
      <c r="E14" s="482"/>
      <c r="F14" s="483" t="str">
        <f t="shared" si="2"/>
        <v>----</v>
      </c>
      <c r="G14" s="482"/>
      <c r="H14" s="483" t="str">
        <f t="shared" si="0"/>
        <v>----</v>
      </c>
      <c r="I14" s="480"/>
      <c r="J14" s="85" t="str">
        <f t="shared" si="1"/>
        <v>----</v>
      </c>
    </row>
    <row r="15" spans="1:10">
      <c r="A15" s="88"/>
      <c r="B15" s="101"/>
      <c r="C15" s="82"/>
      <c r="D15" s="431"/>
      <c r="E15" s="471"/>
      <c r="F15" s="472" t="str">
        <f t="shared" si="2"/>
        <v>----</v>
      </c>
      <c r="G15" s="471"/>
      <c r="H15" s="472" t="str">
        <f t="shared" si="0"/>
        <v>----</v>
      </c>
      <c r="I15" s="484"/>
      <c r="J15" s="83" t="str">
        <f t="shared" si="1"/>
        <v>----</v>
      </c>
    </row>
    <row r="16" spans="1:10">
      <c r="A16" s="91"/>
      <c r="B16" s="92"/>
      <c r="C16" s="84"/>
      <c r="D16" s="477"/>
      <c r="E16" s="482"/>
      <c r="F16" s="483" t="str">
        <f t="shared" si="2"/>
        <v>----</v>
      </c>
      <c r="G16" s="482"/>
      <c r="H16" s="483" t="str">
        <f t="shared" si="0"/>
        <v>----</v>
      </c>
      <c r="I16" s="480"/>
      <c r="J16" s="85" t="str">
        <f t="shared" si="1"/>
        <v>----</v>
      </c>
    </row>
    <row r="17" spans="1:10" ht="15.75" thickBot="1">
      <c r="A17" s="74"/>
      <c r="B17" s="75"/>
      <c r="C17" s="76"/>
      <c r="D17" s="430"/>
      <c r="E17" s="475"/>
      <c r="F17" s="476" t="str">
        <f t="shared" si="2"/>
        <v>----</v>
      </c>
      <c r="G17" s="475"/>
      <c r="H17" s="476" t="str">
        <f t="shared" si="0"/>
        <v>----</v>
      </c>
      <c r="I17" s="481"/>
      <c r="J17" s="77" t="str">
        <f t="shared" si="1"/>
        <v>----</v>
      </c>
    </row>
    <row r="18" spans="1:10" ht="15.75" thickBot="1">
      <c r="A18" s="27"/>
      <c r="B18" s="27"/>
      <c r="C18" s="28"/>
      <c r="D18" s="28"/>
      <c r="E18" s="439"/>
      <c r="F18" s="441">
        <f>SUM(F4:F17)</f>
        <v>-754.91999999992549</v>
      </c>
      <c r="G18" s="439"/>
      <c r="H18" s="441">
        <f>SUM(H4:H17)</f>
        <v>-37981.979999999981</v>
      </c>
      <c r="I18" s="28"/>
      <c r="J18" s="69">
        <f>SUM(J4:J17)</f>
        <v>28191.799999999988</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5BD90-7D59-4123-BB90-F75DE114352D}">
  <dimension ref="A1:K17"/>
  <sheetViews>
    <sheetView workbookViewId="0">
      <selection activeCell="D4" sqref="D4"/>
    </sheetView>
  </sheetViews>
  <sheetFormatPr defaultRowHeight="15"/>
  <cols>
    <col min="2" max="2" width="22.85546875" bestFit="1" customWidth="1"/>
    <col min="3" max="3" width="10.85546875" bestFit="1" customWidth="1"/>
    <col min="4" max="4" width="12.28515625" customWidth="1"/>
    <col min="5" max="5" width="10.7109375" style="432" bestFit="1" customWidth="1"/>
    <col min="6" max="6" width="12.28515625" style="432" bestFit="1" customWidth="1"/>
    <col min="7" max="7" width="9.5703125" style="432" bestFit="1" customWidth="1"/>
    <col min="8" max="8" width="12.140625" style="432" bestFit="1" customWidth="1"/>
    <col min="9" max="9" width="9.5703125" bestFit="1" customWidth="1"/>
    <col min="10" max="10" width="12.140625" bestFit="1" customWidth="1"/>
  </cols>
  <sheetData>
    <row r="1" spans="1:11" ht="15.75" thickBot="1">
      <c r="A1" s="952" t="s">
        <v>125</v>
      </c>
      <c r="B1" s="953"/>
      <c r="C1" s="953"/>
      <c r="D1" s="953"/>
      <c r="E1" s="953"/>
      <c r="F1" s="953"/>
      <c r="G1" s="953"/>
      <c r="H1" s="953"/>
      <c r="I1" s="953"/>
      <c r="J1" s="954"/>
    </row>
    <row r="2" spans="1:11" s="432" customFormat="1">
      <c r="A2" s="959" t="s">
        <v>110</v>
      </c>
      <c r="B2" s="961" t="s">
        <v>111</v>
      </c>
      <c r="C2" s="961" t="s">
        <v>112</v>
      </c>
      <c r="D2" s="963" t="s">
        <v>120</v>
      </c>
      <c r="E2" s="957" t="s">
        <v>701</v>
      </c>
      <c r="F2" s="958"/>
      <c r="G2" s="957" t="s">
        <v>702</v>
      </c>
      <c r="H2" s="958"/>
      <c r="I2" s="932" t="s">
        <v>796</v>
      </c>
      <c r="J2" s="933"/>
    </row>
    <row r="3" spans="1:11" ht="57.75" thickBot="1">
      <c r="A3" s="960"/>
      <c r="B3" s="962"/>
      <c r="C3" s="962"/>
      <c r="D3" s="964"/>
      <c r="E3" s="460" t="s">
        <v>121</v>
      </c>
      <c r="F3" s="468" t="s">
        <v>704</v>
      </c>
      <c r="G3" s="460" t="s">
        <v>121</v>
      </c>
      <c r="H3" s="468" t="s">
        <v>704</v>
      </c>
      <c r="I3" s="478" t="s">
        <v>121</v>
      </c>
      <c r="J3" s="25" t="s">
        <v>704</v>
      </c>
    </row>
    <row r="4" spans="1:11">
      <c r="A4" s="93">
        <v>43970</v>
      </c>
      <c r="B4" s="94" t="s">
        <v>115</v>
      </c>
      <c r="C4" s="614">
        <f>640781.26/2</f>
        <v>320390.63</v>
      </c>
      <c r="D4" s="615">
        <f>C4</f>
        <v>320390.63</v>
      </c>
      <c r="E4" s="616">
        <f>625333.47/2</f>
        <v>312666.73499999999</v>
      </c>
      <c r="F4" s="617">
        <f>IF(ISBLANK(E4),"----",E4-$D4)</f>
        <v>-7723.8950000000186</v>
      </c>
      <c r="G4" s="616" t="s">
        <v>703</v>
      </c>
      <c r="H4" s="617" t="str">
        <f t="shared" ref="H4:H15" si="0">IF(OR(G4="Complete",ISBLANK(G4)),"----",G4-$D4)</f>
        <v>----</v>
      </c>
      <c r="I4" s="618" t="s">
        <v>703</v>
      </c>
      <c r="J4" s="619" t="str">
        <f t="shared" ref="J4:J15" si="1">IF(OR(I4="Complete",ISBLANK(I4)),"----",I4-$D4)</f>
        <v>----</v>
      </c>
      <c r="K4" t="s">
        <v>131</v>
      </c>
    </row>
    <row r="5" spans="1:11">
      <c r="A5" s="204">
        <v>45034</v>
      </c>
      <c r="B5" s="101" t="s">
        <v>644</v>
      </c>
      <c r="C5" s="620">
        <v>538162.19999999995</v>
      </c>
      <c r="D5" s="621">
        <f>C5</f>
        <v>538162.19999999995</v>
      </c>
      <c r="E5" s="622"/>
      <c r="F5" s="623" t="str">
        <f t="shared" ref="F5:F15" si="2">IF(ISBLANK(E5),"----",E5-$D5)</f>
        <v>----</v>
      </c>
      <c r="G5" s="622"/>
      <c r="H5" s="623" t="str">
        <f t="shared" si="0"/>
        <v>----</v>
      </c>
      <c r="I5" s="624"/>
      <c r="J5" s="625" t="str">
        <f t="shared" si="1"/>
        <v>----</v>
      </c>
    </row>
    <row r="6" spans="1:11">
      <c r="A6" s="371">
        <v>45461</v>
      </c>
      <c r="B6" s="450" t="s">
        <v>758</v>
      </c>
      <c r="C6" s="626">
        <v>772782.78</v>
      </c>
      <c r="D6" s="627">
        <f>C6</f>
        <v>772782.78</v>
      </c>
      <c r="E6" s="628"/>
      <c r="F6" s="629" t="str">
        <f t="shared" si="2"/>
        <v>----</v>
      </c>
      <c r="G6" s="628"/>
      <c r="H6" s="629" t="str">
        <f t="shared" si="0"/>
        <v>----</v>
      </c>
      <c r="I6" s="630"/>
      <c r="J6" s="631" t="str">
        <f t="shared" si="1"/>
        <v>----</v>
      </c>
    </row>
    <row r="7" spans="1:11">
      <c r="A7" s="371"/>
      <c r="B7" s="103"/>
      <c r="C7" s="626"/>
      <c r="D7" s="632"/>
      <c r="E7" s="628"/>
      <c r="F7" s="629" t="str">
        <f t="shared" si="2"/>
        <v>----</v>
      </c>
      <c r="G7" s="628"/>
      <c r="H7" s="629" t="str">
        <f t="shared" si="0"/>
        <v>----</v>
      </c>
      <c r="I7" s="630"/>
      <c r="J7" s="631" t="str">
        <f t="shared" si="1"/>
        <v>----</v>
      </c>
    </row>
    <row r="8" spans="1:11">
      <c r="A8" s="371"/>
      <c r="B8" s="103"/>
      <c r="C8" s="626"/>
      <c r="D8" s="632"/>
      <c r="E8" s="628"/>
      <c r="F8" s="629" t="str">
        <f t="shared" si="2"/>
        <v>----</v>
      </c>
      <c r="G8" s="628"/>
      <c r="H8" s="629" t="str">
        <f t="shared" si="0"/>
        <v>----</v>
      </c>
      <c r="I8" s="630"/>
      <c r="J8" s="631" t="str">
        <f t="shared" si="1"/>
        <v>----</v>
      </c>
    </row>
    <row r="9" spans="1:11">
      <c r="A9" s="371"/>
      <c r="B9" s="103"/>
      <c r="C9" s="626"/>
      <c r="D9" s="632"/>
      <c r="E9" s="628"/>
      <c r="F9" s="629" t="str">
        <f t="shared" si="2"/>
        <v>----</v>
      </c>
      <c r="G9" s="628"/>
      <c r="H9" s="629" t="str">
        <f t="shared" si="0"/>
        <v>----</v>
      </c>
      <c r="I9" s="630"/>
      <c r="J9" s="631" t="str">
        <f t="shared" si="1"/>
        <v>----</v>
      </c>
    </row>
    <row r="10" spans="1:11">
      <c r="A10" s="371"/>
      <c r="B10" s="103"/>
      <c r="C10" s="626"/>
      <c r="D10" s="632"/>
      <c r="E10" s="628"/>
      <c r="F10" s="629" t="str">
        <f t="shared" si="2"/>
        <v>----</v>
      </c>
      <c r="G10" s="628"/>
      <c r="H10" s="629" t="str">
        <f t="shared" si="0"/>
        <v>----</v>
      </c>
      <c r="I10" s="630"/>
      <c r="J10" s="631" t="str">
        <f t="shared" si="1"/>
        <v>----</v>
      </c>
    </row>
    <row r="11" spans="1:11">
      <c r="A11" s="371"/>
      <c r="B11" s="103"/>
      <c r="C11" s="626"/>
      <c r="D11" s="632"/>
      <c r="E11" s="628"/>
      <c r="F11" s="629" t="str">
        <f t="shared" si="2"/>
        <v>----</v>
      </c>
      <c r="G11" s="628"/>
      <c r="H11" s="629" t="str">
        <f t="shared" si="0"/>
        <v>----</v>
      </c>
      <c r="I11" s="630"/>
      <c r="J11" s="631" t="str">
        <f t="shared" si="1"/>
        <v>----</v>
      </c>
    </row>
    <row r="12" spans="1:11">
      <c r="A12" s="371"/>
      <c r="B12" s="103"/>
      <c r="C12" s="626"/>
      <c r="D12" s="632"/>
      <c r="E12" s="628"/>
      <c r="F12" s="629" t="str">
        <f t="shared" si="2"/>
        <v>----</v>
      </c>
      <c r="G12" s="628"/>
      <c r="H12" s="629" t="str">
        <f t="shared" si="0"/>
        <v>----</v>
      </c>
      <c r="I12" s="630"/>
      <c r="J12" s="631" t="str">
        <f t="shared" si="1"/>
        <v>----</v>
      </c>
    </row>
    <row r="13" spans="1:11">
      <c r="A13" s="371"/>
      <c r="B13" s="103"/>
      <c r="C13" s="626"/>
      <c r="D13" s="632"/>
      <c r="E13" s="628"/>
      <c r="F13" s="629" t="str">
        <f t="shared" si="2"/>
        <v>----</v>
      </c>
      <c r="G13" s="628"/>
      <c r="H13" s="629" t="str">
        <f t="shared" si="0"/>
        <v>----</v>
      </c>
      <c r="I13" s="630"/>
      <c r="J13" s="631" t="str">
        <f t="shared" si="1"/>
        <v>----</v>
      </c>
    </row>
    <row r="14" spans="1:11">
      <c r="A14" s="91"/>
      <c r="B14" s="92"/>
      <c r="C14" s="604"/>
      <c r="D14" s="605"/>
      <c r="E14" s="606"/>
      <c r="F14" s="607" t="str">
        <f t="shared" si="2"/>
        <v>----</v>
      </c>
      <c r="G14" s="606"/>
      <c r="H14" s="607" t="str">
        <f t="shared" si="0"/>
        <v>----</v>
      </c>
      <c r="I14" s="608"/>
      <c r="J14" s="609" t="str">
        <f t="shared" si="1"/>
        <v>----</v>
      </c>
    </row>
    <row r="15" spans="1:11" ht="15.75" thickBot="1">
      <c r="A15" s="74"/>
      <c r="B15" s="75"/>
      <c r="C15" s="373"/>
      <c r="D15" s="527"/>
      <c r="E15" s="610"/>
      <c r="F15" s="611" t="str">
        <f t="shared" si="2"/>
        <v>----</v>
      </c>
      <c r="G15" s="610"/>
      <c r="H15" s="611" t="str">
        <f t="shared" si="0"/>
        <v>----</v>
      </c>
      <c r="I15" s="612"/>
      <c r="J15" s="613" t="str">
        <f t="shared" si="1"/>
        <v>----</v>
      </c>
    </row>
    <row r="16" spans="1:11" ht="15.75" thickBot="1">
      <c r="A16" s="27"/>
      <c r="B16" s="27"/>
      <c r="C16" s="28"/>
      <c r="D16" s="28"/>
      <c r="E16" s="439"/>
      <c r="F16" s="441">
        <f>SUM(F4:F15)</f>
        <v>-7723.8950000000186</v>
      </c>
      <c r="G16" s="439"/>
      <c r="H16" s="441">
        <f>SUM(H4:H15)</f>
        <v>0</v>
      </c>
      <c r="I16" s="28"/>
      <c r="J16" s="69">
        <f>SUM(J4:J15)</f>
        <v>0</v>
      </c>
    </row>
    <row r="17" spans="1:10">
      <c r="A17" s="29"/>
      <c r="B17" s="29"/>
      <c r="C17" s="29"/>
      <c r="D17" s="29"/>
      <c r="E17" s="440"/>
      <c r="F17" s="440"/>
      <c r="G17" s="440"/>
      <c r="H17" s="440"/>
      <c r="I17" s="29"/>
      <c r="J17" s="29"/>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09836-05F1-4D54-90B3-3E0E80B4D4E1}">
  <dimension ref="A1:L27"/>
  <sheetViews>
    <sheetView workbookViewId="0">
      <selection activeCell="G8" sqref="G8"/>
    </sheetView>
  </sheetViews>
  <sheetFormatPr defaultRowHeight="15"/>
  <cols>
    <col min="2" max="2" width="22.85546875" bestFit="1" customWidth="1"/>
    <col min="3" max="3" width="12" customWidth="1"/>
    <col min="4" max="4" width="14.28515625" customWidth="1"/>
    <col min="5" max="5" width="10.7109375" style="432" bestFit="1" customWidth="1"/>
    <col min="6" max="6" width="14.5703125" style="432" customWidth="1"/>
    <col min="7" max="7" width="10.140625" style="432" bestFit="1" customWidth="1"/>
    <col min="8" max="8" width="14.5703125" style="432" customWidth="1"/>
    <col min="9" max="9" width="10.140625" bestFit="1" customWidth="1"/>
    <col min="10" max="10" width="14.5703125" customWidth="1"/>
    <col min="12" max="12" width="12.5703125" bestFit="1" customWidth="1"/>
  </cols>
  <sheetData>
    <row r="1" spans="1:12" ht="15.75" thickBot="1">
      <c r="A1" s="952" t="s">
        <v>232</v>
      </c>
      <c r="B1" s="953"/>
      <c r="C1" s="953"/>
      <c r="D1" s="953"/>
      <c r="E1" s="953"/>
      <c r="F1" s="953"/>
      <c r="G1" s="953"/>
      <c r="H1" s="953"/>
      <c r="I1" s="953"/>
      <c r="J1" s="954"/>
    </row>
    <row r="2" spans="1:12" s="432" customFormat="1">
      <c r="A2" s="959" t="s">
        <v>110</v>
      </c>
      <c r="B2" s="961" t="s">
        <v>111</v>
      </c>
      <c r="C2" s="961" t="s">
        <v>112</v>
      </c>
      <c r="D2" s="963" t="s">
        <v>120</v>
      </c>
      <c r="E2" s="957" t="s">
        <v>701</v>
      </c>
      <c r="F2" s="958"/>
      <c r="G2" s="957" t="s">
        <v>702</v>
      </c>
      <c r="H2" s="958"/>
      <c r="I2" s="932" t="s">
        <v>796</v>
      </c>
      <c r="J2" s="933"/>
    </row>
    <row r="3" spans="1:12" ht="46.5" thickBot="1">
      <c r="A3" s="960"/>
      <c r="B3" s="962"/>
      <c r="C3" s="962"/>
      <c r="D3" s="964"/>
      <c r="E3" s="460" t="s">
        <v>121</v>
      </c>
      <c r="F3" s="468" t="s">
        <v>704</v>
      </c>
      <c r="G3" s="460" t="s">
        <v>121</v>
      </c>
      <c r="H3" s="468" t="s">
        <v>704</v>
      </c>
      <c r="I3" s="478" t="s">
        <v>121</v>
      </c>
      <c r="J3" s="25" t="s">
        <v>704</v>
      </c>
    </row>
    <row r="4" spans="1:12">
      <c r="A4" s="70">
        <v>43942</v>
      </c>
      <c r="B4" s="71" t="s">
        <v>245</v>
      </c>
      <c r="C4" s="722">
        <v>267343</v>
      </c>
      <c r="D4" s="727">
        <f>C4</f>
        <v>267343</v>
      </c>
      <c r="E4" s="737">
        <v>266954.32</v>
      </c>
      <c r="F4" s="768">
        <f>IF(ISBLANK(E4),"----",E4-$D4)</f>
        <v>-388.67999999999302</v>
      </c>
      <c r="G4" s="737" t="s">
        <v>703</v>
      </c>
      <c r="H4" s="768" t="str">
        <f t="shared" ref="H4:H26" si="0">IF(OR(G4="Complete",ISBLANK(G4)),"----",G4-$D4)</f>
        <v>----</v>
      </c>
      <c r="I4" s="732" t="s">
        <v>703</v>
      </c>
      <c r="J4" s="769" t="str">
        <f t="shared" ref="J4:J26" si="1">IF(OR(I4="Complete",ISBLANK(I4)),"----",I4-$D4)</f>
        <v>----</v>
      </c>
    </row>
    <row r="5" spans="1:12">
      <c r="A5" s="88">
        <v>43942</v>
      </c>
      <c r="B5" s="101" t="s">
        <v>246</v>
      </c>
      <c r="C5" s="724">
        <v>359699.4</v>
      </c>
      <c r="D5" s="728">
        <f>C5</f>
        <v>359699.4</v>
      </c>
      <c r="E5" s="738">
        <v>360184.68</v>
      </c>
      <c r="F5" s="776">
        <f t="shared" ref="F5:F26" si="2">IF(ISBLANK(E5),"----",E5-$D5)</f>
        <v>485.27999999996973</v>
      </c>
      <c r="G5" s="738" t="s">
        <v>703</v>
      </c>
      <c r="H5" s="776" t="str">
        <f t="shared" si="0"/>
        <v>----</v>
      </c>
      <c r="I5" s="733" t="s">
        <v>703</v>
      </c>
      <c r="J5" s="777" t="str">
        <f t="shared" si="1"/>
        <v>----</v>
      </c>
    </row>
    <row r="6" spans="1:12">
      <c r="A6" s="102">
        <v>44306</v>
      </c>
      <c r="B6" s="103" t="s">
        <v>423</v>
      </c>
      <c r="C6" s="770">
        <v>691838.93</v>
      </c>
      <c r="D6" s="729">
        <v>418738.93</v>
      </c>
      <c r="E6" s="739">
        <v>423991.46</v>
      </c>
      <c r="F6" s="771">
        <f t="shared" si="2"/>
        <v>5252.5300000000279</v>
      </c>
      <c r="G6" s="739" t="s">
        <v>703</v>
      </c>
      <c r="H6" s="771" t="str">
        <f t="shared" si="0"/>
        <v>----</v>
      </c>
      <c r="I6" s="734" t="s">
        <v>703</v>
      </c>
      <c r="J6" s="772" t="str">
        <f t="shared" si="1"/>
        <v>----</v>
      </c>
      <c r="K6" t="s">
        <v>422</v>
      </c>
    </row>
    <row r="7" spans="1:12">
      <c r="A7" s="102">
        <v>44915</v>
      </c>
      <c r="B7" s="103" t="s">
        <v>614</v>
      </c>
      <c r="C7" s="770">
        <v>592830.35</v>
      </c>
      <c r="D7" s="729">
        <f>C7</f>
        <v>592830.35</v>
      </c>
      <c r="E7" s="739"/>
      <c r="F7" s="771" t="str">
        <f t="shared" si="2"/>
        <v>----</v>
      </c>
      <c r="G7" s="739">
        <v>592733.5</v>
      </c>
      <c r="H7" s="771">
        <f t="shared" si="0"/>
        <v>-96.849999999976717</v>
      </c>
      <c r="I7" s="734"/>
      <c r="J7" s="772" t="str">
        <f t="shared" si="1"/>
        <v>----</v>
      </c>
    </row>
    <row r="8" spans="1:12">
      <c r="A8" s="406">
        <v>45251</v>
      </c>
      <c r="B8" s="407" t="s">
        <v>681</v>
      </c>
      <c r="C8" s="770">
        <v>346590.04</v>
      </c>
      <c r="D8" s="729">
        <f>C8</f>
        <v>346590.04</v>
      </c>
      <c r="E8" s="739"/>
      <c r="F8" s="771" t="str">
        <f t="shared" si="2"/>
        <v>----</v>
      </c>
      <c r="G8" s="739"/>
      <c r="H8" s="771" t="str">
        <f t="shared" si="0"/>
        <v>----</v>
      </c>
      <c r="I8" s="734"/>
      <c r="J8" s="772" t="str">
        <f t="shared" si="1"/>
        <v>----</v>
      </c>
    </row>
    <row r="9" spans="1:12">
      <c r="A9" s="102">
        <v>45279</v>
      </c>
      <c r="B9" s="103" t="s">
        <v>690</v>
      </c>
      <c r="C9" s="770">
        <v>1729293.54</v>
      </c>
      <c r="D9" s="729">
        <f>C9-C9*0.2-C9*0.6</f>
        <v>345858.70799999998</v>
      </c>
      <c r="E9" s="739"/>
      <c r="F9" s="771" t="str">
        <f t="shared" si="2"/>
        <v>----</v>
      </c>
      <c r="G9" s="739"/>
      <c r="H9" s="771" t="str">
        <f t="shared" si="0"/>
        <v>----</v>
      </c>
      <c r="I9" s="734"/>
      <c r="J9" s="772" t="str">
        <f t="shared" si="1"/>
        <v>----</v>
      </c>
      <c r="K9" s="413" t="s">
        <v>706</v>
      </c>
    </row>
    <row r="10" spans="1:12">
      <c r="A10" s="720">
        <v>45643</v>
      </c>
      <c r="B10" s="721" t="s">
        <v>802</v>
      </c>
      <c r="C10" s="770">
        <v>539845.64</v>
      </c>
      <c r="D10" s="729">
        <f>C10</f>
        <v>539845.64</v>
      </c>
      <c r="E10" s="739"/>
      <c r="F10" s="771" t="str">
        <f t="shared" si="2"/>
        <v>----</v>
      </c>
      <c r="G10" s="739"/>
      <c r="H10" s="771" t="str">
        <f t="shared" si="0"/>
        <v>----</v>
      </c>
      <c r="I10" s="734"/>
      <c r="J10" s="772" t="str">
        <f t="shared" si="1"/>
        <v>----</v>
      </c>
    </row>
    <row r="11" spans="1:12">
      <c r="A11" s="102"/>
      <c r="B11" s="103"/>
      <c r="C11" s="770"/>
      <c r="D11" s="729"/>
      <c r="E11" s="739"/>
      <c r="F11" s="771" t="str">
        <f t="shared" si="2"/>
        <v>----</v>
      </c>
      <c r="G11" s="739"/>
      <c r="H11" s="771" t="str">
        <f t="shared" si="0"/>
        <v>----</v>
      </c>
      <c r="I11" s="734"/>
      <c r="J11" s="772" t="str">
        <f t="shared" si="1"/>
        <v>----</v>
      </c>
      <c r="L11" s="591"/>
    </row>
    <row r="12" spans="1:12">
      <c r="A12" s="102"/>
      <c r="B12" s="103"/>
      <c r="C12" s="770"/>
      <c r="D12" s="729"/>
      <c r="E12" s="739"/>
      <c r="F12" s="771" t="str">
        <f t="shared" si="2"/>
        <v>----</v>
      </c>
      <c r="G12" s="739"/>
      <c r="H12" s="771" t="str">
        <f t="shared" si="0"/>
        <v>----</v>
      </c>
      <c r="I12" s="734"/>
      <c r="J12" s="772" t="str">
        <f t="shared" si="1"/>
        <v>----</v>
      </c>
    </row>
    <row r="13" spans="1:12">
      <c r="A13" s="102"/>
      <c r="B13" s="103"/>
      <c r="C13" s="770"/>
      <c r="D13" s="729"/>
      <c r="E13" s="739"/>
      <c r="F13" s="771" t="str">
        <f t="shared" si="2"/>
        <v>----</v>
      </c>
      <c r="G13" s="739"/>
      <c r="H13" s="771" t="str">
        <f t="shared" si="0"/>
        <v>----</v>
      </c>
      <c r="I13" s="734"/>
      <c r="J13" s="772" t="str">
        <f t="shared" si="1"/>
        <v>----</v>
      </c>
    </row>
    <row r="14" spans="1:12">
      <c r="A14" s="102"/>
      <c r="B14" s="103"/>
      <c r="C14" s="770"/>
      <c r="D14" s="729"/>
      <c r="E14" s="739"/>
      <c r="F14" s="771" t="str">
        <f t="shared" si="2"/>
        <v>----</v>
      </c>
      <c r="G14" s="739"/>
      <c r="H14" s="771" t="str">
        <f t="shared" si="0"/>
        <v>----</v>
      </c>
      <c r="I14" s="734"/>
      <c r="J14" s="772" t="str">
        <f t="shared" si="1"/>
        <v>----</v>
      </c>
    </row>
    <row r="15" spans="1:12">
      <c r="A15" s="102"/>
      <c r="B15" s="103"/>
      <c r="C15" s="770"/>
      <c r="D15" s="729"/>
      <c r="E15" s="739"/>
      <c r="F15" s="771" t="str">
        <f t="shared" si="2"/>
        <v>----</v>
      </c>
      <c r="G15" s="739"/>
      <c r="H15" s="771" t="str">
        <f t="shared" si="0"/>
        <v>----</v>
      </c>
      <c r="I15" s="734"/>
      <c r="J15" s="772" t="str">
        <f t="shared" si="1"/>
        <v>----</v>
      </c>
    </row>
    <row r="16" spans="1:12">
      <c r="A16" s="102"/>
      <c r="B16" s="103"/>
      <c r="C16" s="770"/>
      <c r="D16" s="729"/>
      <c r="E16" s="739"/>
      <c r="F16" s="771" t="str">
        <f t="shared" si="2"/>
        <v>----</v>
      </c>
      <c r="G16" s="739"/>
      <c r="H16" s="771" t="str">
        <f t="shared" si="0"/>
        <v>----</v>
      </c>
      <c r="I16" s="734"/>
      <c r="J16" s="772" t="str">
        <f t="shared" si="1"/>
        <v>----</v>
      </c>
    </row>
    <row r="17" spans="1:10">
      <c r="A17" s="102"/>
      <c r="B17" s="103"/>
      <c r="C17" s="770"/>
      <c r="D17" s="729"/>
      <c r="E17" s="739"/>
      <c r="F17" s="771" t="str">
        <f t="shared" si="2"/>
        <v>----</v>
      </c>
      <c r="G17" s="739"/>
      <c r="H17" s="771" t="str">
        <f t="shared" si="0"/>
        <v>----</v>
      </c>
      <c r="I17" s="734"/>
      <c r="J17" s="772" t="str">
        <f t="shared" si="1"/>
        <v>----</v>
      </c>
    </row>
    <row r="18" spans="1:10">
      <c r="A18" s="102"/>
      <c r="B18" s="103"/>
      <c r="C18" s="770"/>
      <c r="D18" s="729"/>
      <c r="E18" s="739"/>
      <c r="F18" s="771" t="str">
        <f t="shared" si="2"/>
        <v>----</v>
      </c>
      <c r="G18" s="739"/>
      <c r="H18" s="771" t="str">
        <f t="shared" si="0"/>
        <v>----</v>
      </c>
      <c r="I18" s="734"/>
      <c r="J18" s="772" t="str">
        <f t="shared" si="1"/>
        <v>----</v>
      </c>
    </row>
    <row r="19" spans="1:10">
      <c r="A19" s="102"/>
      <c r="B19" s="103"/>
      <c r="C19" s="770"/>
      <c r="D19" s="729"/>
      <c r="E19" s="739"/>
      <c r="F19" s="771" t="str">
        <f t="shared" si="2"/>
        <v>----</v>
      </c>
      <c r="G19" s="739"/>
      <c r="H19" s="771" t="str">
        <f t="shared" si="0"/>
        <v>----</v>
      </c>
      <c r="I19" s="734"/>
      <c r="J19" s="772" t="str">
        <f t="shared" si="1"/>
        <v>----</v>
      </c>
    </row>
    <row r="20" spans="1:10">
      <c r="A20" s="102"/>
      <c r="B20" s="103"/>
      <c r="C20" s="770"/>
      <c r="D20" s="729"/>
      <c r="E20" s="739"/>
      <c r="F20" s="771" t="str">
        <f t="shared" si="2"/>
        <v>----</v>
      </c>
      <c r="G20" s="739"/>
      <c r="H20" s="771" t="str">
        <f t="shared" si="0"/>
        <v>----</v>
      </c>
      <c r="I20" s="734"/>
      <c r="J20" s="772" t="str">
        <f t="shared" si="1"/>
        <v>----</v>
      </c>
    </row>
    <row r="21" spans="1:10">
      <c r="A21" s="102"/>
      <c r="B21" s="103"/>
      <c r="C21" s="770"/>
      <c r="D21" s="729"/>
      <c r="E21" s="739"/>
      <c r="F21" s="771" t="str">
        <f t="shared" si="2"/>
        <v>----</v>
      </c>
      <c r="G21" s="739"/>
      <c r="H21" s="771" t="str">
        <f t="shared" si="0"/>
        <v>----</v>
      </c>
      <c r="I21" s="734"/>
      <c r="J21" s="772" t="str">
        <f t="shared" si="1"/>
        <v>----</v>
      </c>
    </row>
    <row r="22" spans="1:10">
      <c r="A22" s="102"/>
      <c r="B22" s="103"/>
      <c r="C22" s="770"/>
      <c r="D22" s="729"/>
      <c r="E22" s="739"/>
      <c r="F22" s="771" t="str">
        <f t="shared" si="2"/>
        <v>----</v>
      </c>
      <c r="G22" s="739"/>
      <c r="H22" s="771" t="str">
        <f t="shared" si="0"/>
        <v>----</v>
      </c>
      <c r="I22" s="734"/>
      <c r="J22" s="772" t="str">
        <f t="shared" si="1"/>
        <v>----</v>
      </c>
    </row>
    <row r="23" spans="1:10">
      <c r="A23" s="102"/>
      <c r="B23" s="103"/>
      <c r="C23" s="770"/>
      <c r="D23" s="729"/>
      <c r="E23" s="739"/>
      <c r="F23" s="771" t="str">
        <f t="shared" si="2"/>
        <v>----</v>
      </c>
      <c r="G23" s="739"/>
      <c r="H23" s="771" t="str">
        <f t="shared" si="0"/>
        <v>----</v>
      </c>
      <c r="I23" s="734"/>
      <c r="J23" s="772" t="str">
        <f t="shared" si="1"/>
        <v>----</v>
      </c>
    </row>
    <row r="24" spans="1:10">
      <c r="A24" s="102"/>
      <c r="B24" s="103"/>
      <c r="C24" s="770"/>
      <c r="D24" s="729"/>
      <c r="E24" s="739"/>
      <c r="F24" s="771" t="str">
        <f t="shared" si="2"/>
        <v>----</v>
      </c>
      <c r="G24" s="739"/>
      <c r="H24" s="771" t="str">
        <f t="shared" si="0"/>
        <v>----</v>
      </c>
      <c r="I24" s="734"/>
      <c r="J24" s="772" t="str">
        <f t="shared" si="1"/>
        <v>----</v>
      </c>
    </row>
    <row r="25" spans="1:10">
      <c r="A25" s="116"/>
      <c r="B25" s="117"/>
      <c r="C25" s="773"/>
      <c r="D25" s="730"/>
      <c r="E25" s="740"/>
      <c r="F25" s="774" t="str">
        <f t="shared" si="2"/>
        <v>----</v>
      </c>
      <c r="G25" s="740"/>
      <c r="H25" s="774" t="str">
        <f t="shared" si="0"/>
        <v>----</v>
      </c>
      <c r="I25" s="735"/>
      <c r="J25" s="775" t="str">
        <f t="shared" si="1"/>
        <v>----</v>
      </c>
    </row>
    <row r="26" spans="1:10" ht="15.75" thickBot="1">
      <c r="A26" s="74"/>
      <c r="B26" s="75"/>
      <c r="C26" s="723"/>
      <c r="D26" s="731"/>
      <c r="E26" s="741"/>
      <c r="F26" s="766" t="str">
        <f t="shared" si="2"/>
        <v>----</v>
      </c>
      <c r="G26" s="741"/>
      <c r="H26" s="766" t="str">
        <f t="shared" si="0"/>
        <v>----</v>
      </c>
      <c r="I26" s="736"/>
      <c r="J26" s="767" t="str">
        <f t="shared" si="1"/>
        <v>----</v>
      </c>
    </row>
    <row r="27" spans="1:10" ht="15.75" thickBot="1">
      <c r="A27" s="27"/>
      <c r="B27" s="27"/>
      <c r="C27" s="28"/>
      <c r="D27" s="28"/>
      <c r="E27" s="439"/>
      <c r="F27" s="441">
        <f>SUM(F4:F26)</f>
        <v>5349.1300000000047</v>
      </c>
      <c r="G27" s="439"/>
      <c r="H27" s="441">
        <f>SUM(H4:H26)</f>
        <v>-96.849999999976717</v>
      </c>
      <c r="I27" s="28"/>
      <c r="J27" s="69">
        <f>SUM(J4:J26)</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0B93-E83E-4763-8308-C6A662262CF5}">
  <dimension ref="A1:J22"/>
  <sheetViews>
    <sheetView workbookViewId="0">
      <selection activeCell="G7" sqref="G7"/>
    </sheetView>
  </sheetViews>
  <sheetFormatPr defaultRowHeight="15"/>
  <cols>
    <col min="2" max="2" width="22.85546875" bestFit="1" customWidth="1"/>
    <col min="3" max="3" width="10.7109375" bestFit="1" customWidth="1"/>
    <col min="4" max="4" width="12.140625" customWidth="1"/>
    <col min="5" max="5" width="10.7109375" style="432" bestFit="1" customWidth="1"/>
    <col min="6" max="6" width="12" style="432" customWidth="1"/>
    <col min="7" max="7" width="10.7109375" style="432" bestFit="1" customWidth="1"/>
    <col min="8" max="8" width="12" style="432" customWidth="1"/>
    <col min="9" max="9" width="10.7109375" bestFit="1" customWidth="1"/>
    <col min="10" max="10" width="12" customWidth="1"/>
  </cols>
  <sheetData>
    <row r="1" spans="1:10" ht="15.75" thickBot="1">
      <c r="A1" s="952" t="s">
        <v>217</v>
      </c>
      <c r="B1" s="953"/>
      <c r="C1" s="953"/>
      <c r="D1" s="953"/>
      <c r="E1" s="953"/>
      <c r="F1" s="953"/>
      <c r="G1" s="953"/>
      <c r="H1" s="953"/>
      <c r="I1" s="953"/>
      <c r="J1" s="954"/>
    </row>
    <row r="2" spans="1:10" s="432" customFormat="1">
      <c r="A2" s="959" t="s">
        <v>110</v>
      </c>
      <c r="B2" s="961" t="s">
        <v>111</v>
      </c>
      <c r="C2" s="961" t="s">
        <v>112</v>
      </c>
      <c r="D2" s="963" t="s">
        <v>120</v>
      </c>
      <c r="E2" s="957" t="s">
        <v>701</v>
      </c>
      <c r="F2" s="958"/>
      <c r="G2" s="957" t="s">
        <v>702</v>
      </c>
      <c r="H2" s="958"/>
      <c r="I2" s="932" t="s">
        <v>796</v>
      </c>
      <c r="J2" s="933"/>
    </row>
    <row r="3" spans="1:10" ht="57.75" thickBot="1">
      <c r="A3" s="960"/>
      <c r="B3" s="962"/>
      <c r="C3" s="962"/>
      <c r="D3" s="964"/>
      <c r="E3" s="460" t="s">
        <v>121</v>
      </c>
      <c r="F3" s="468" t="s">
        <v>704</v>
      </c>
      <c r="G3" s="460" t="s">
        <v>121</v>
      </c>
      <c r="H3" s="468" t="s">
        <v>704</v>
      </c>
      <c r="I3" s="478" t="s">
        <v>121</v>
      </c>
      <c r="J3" s="438" t="s">
        <v>704</v>
      </c>
    </row>
    <row r="4" spans="1:10">
      <c r="A4" s="70">
        <v>43879</v>
      </c>
      <c r="B4" s="71" t="s">
        <v>218</v>
      </c>
      <c r="C4" s="781">
        <v>393213.65</v>
      </c>
      <c r="D4" s="781">
        <f t="shared" ref="D4:D9" si="0">C4</f>
        <v>393213.65</v>
      </c>
      <c r="E4" s="794"/>
      <c r="F4" s="803" t="str">
        <f t="shared" ref="F4:F21" si="1">IF(ISBLANK(E4),"----",E4-D4)</f>
        <v>----</v>
      </c>
      <c r="G4" s="794"/>
      <c r="H4" s="803" t="str">
        <f t="shared" ref="H4:H21" si="2">IF(OR(G4="Complete",ISBLANK(G4)),"----",G4-$D4)</f>
        <v>----</v>
      </c>
      <c r="I4" s="791"/>
      <c r="J4" s="804" t="str">
        <f t="shared" ref="J4:J21" si="3">IF(OR(I4="Complete",ISBLANK(I4)),"----",I4-$D4)</f>
        <v>----</v>
      </c>
    </row>
    <row r="5" spans="1:10">
      <c r="A5" s="88">
        <v>44216</v>
      </c>
      <c r="B5" s="101" t="s">
        <v>377</v>
      </c>
      <c r="C5" s="784">
        <v>103125.5</v>
      </c>
      <c r="D5" s="784">
        <f t="shared" si="0"/>
        <v>103125.5</v>
      </c>
      <c r="E5" s="795">
        <v>104313.75</v>
      </c>
      <c r="F5" s="807">
        <f t="shared" si="1"/>
        <v>1188.25</v>
      </c>
      <c r="G5" s="795" t="s">
        <v>703</v>
      </c>
      <c r="H5" s="807" t="str">
        <f t="shared" si="2"/>
        <v>----</v>
      </c>
      <c r="I5" s="792" t="s">
        <v>703</v>
      </c>
      <c r="J5" s="808" t="str">
        <f t="shared" si="3"/>
        <v>----</v>
      </c>
    </row>
    <row r="6" spans="1:10">
      <c r="A6" s="102">
        <v>44880</v>
      </c>
      <c r="B6" s="103" t="s">
        <v>592</v>
      </c>
      <c r="C6" s="770">
        <v>205316</v>
      </c>
      <c r="D6" s="770">
        <f t="shared" si="0"/>
        <v>205316</v>
      </c>
      <c r="E6" s="739"/>
      <c r="F6" s="807" t="str">
        <f t="shared" si="1"/>
        <v>----</v>
      </c>
      <c r="G6" s="739">
        <v>205251.42</v>
      </c>
      <c r="H6" s="771">
        <f t="shared" si="2"/>
        <v>-64.579999999987194</v>
      </c>
      <c r="I6" s="734" t="s">
        <v>703</v>
      </c>
      <c r="J6" s="772" t="str">
        <f t="shared" si="3"/>
        <v>----</v>
      </c>
    </row>
    <row r="7" spans="1:10">
      <c r="A7" s="102">
        <v>44880</v>
      </c>
      <c r="B7" s="103" t="s">
        <v>593</v>
      </c>
      <c r="C7" s="770">
        <v>764936</v>
      </c>
      <c r="D7" s="770">
        <f t="shared" si="0"/>
        <v>764936</v>
      </c>
      <c r="E7" s="739"/>
      <c r="F7" s="807" t="str">
        <f t="shared" si="1"/>
        <v>----</v>
      </c>
      <c r="G7" s="739">
        <v>775061.18</v>
      </c>
      <c r="H7" s="771">
        <f t="shared" si="2"/>
        <v>10125.180000000051</v>
      </c>
      <c r="I7" s="734" t="s">
        <v>703</v>
      </c>
      <c r="J7" s="772" t="str">
        <f t="shared" si="3"/>
        <v>----</v>
      </c>
    </row>
    <row r="8" spans="1:10">
      <c r="A8" s="102">
        <v>45734</v>
      </c>
      <c r="B8" s="721" t="s">
        <v>858</v>
      </c>
      <c r="C8" s="770">
        <v>192912</v>
      </c>
      <c r="D8" s="770">
        <f t="shared" si="0"/>
        <v>192912</v>
      </c>
      <c r="E8" s="739"/>
      <c r="F8" s="807" t="str">
        <f t="shared" si="1"/>
        <v>----</v>
      </c>
      <c r="G8" s="739"/>
      <c r="H8" s="771" t="str">
        <f t="shared" si="2"/>
        <v>----</v>
      </c>
      <c r="I8" s="734"/>
      <c r="J8" s="772" t="str">
        <f t="shared" si="3"/>
        <v>----</v>
      </c>
    </row>
    <row r="9" spans="1:10">
      <c r="A9" s="102">
        <v>45734</v>
      </c>
      <c r="B9" s="721" t="s">
        <v>859</v>
      </c>
      <c r="C9" s="770">
        <v>149826.75</v>
      </c>
      <c r="D9" s="770">
        <f t="shared" si="0"/>
        <v>149826.75</v>
      </c>
      <c r="E9" s="739"/>
      <c r="F9" s="807" t="str">
        <f t="shared" si="1"/>
        <v>----</v>
      </c>
      <c r="G9" s="739"/>
      <c r="H9" s="771" t="str">
        <f t="shared" si="2"/>
        <v>----</v>
      </c>
      <c r="I9" s="734"/>
      <c r="J9" s="772" t="str">
        <f t="shared" si="3"/>
        <v>----</v>
      </c>
    </row>
    <row r="10" spans="1:10">
      <c r="A10" s="102"/>
      <c r="B10" s="103"/>
      <c r="C10" s="770"/>
      <c r="D10" s="770"/>
      <c r="E10" s="739"/>
      <c r="F10" s="807" t="str">
        <f t="shared" si="1"/>
        <v>----</v>
      </c>
      <c r="G10" s="739"/>
      <c r="H10" s="771" t="str">
        <f t="shared" si="2"/>
        <v>----</v>
      </c>
      <c r="I10" s="734"/>
      <c r="J10" s="772" t="str">
        <f t="shared" si="3"/>
        <v>----</v>
      </c>
    </row>
    <row r="11" spans="1:10">
      <c r="A11" s="102"/>
      <c r="B11" s="103"/>
      <c r="C11" s="770"/>
      <c r="D11" s="770"/>
      <c r="E11" s="739"/>
      <c r="F11" s="807" t="str">
        <f t="shared" si="1"/>
        <v>----</v>
      </c>
      <c r="G11" s="739"/>
      <c r="H11" s="771" t="str">
        <f t="shared" si="2"/>
        <v>----</v>
      </c>
      <c r="I11" s="734"/>
      <c r="J11" s="772" t="str">
        <f t="shared" si="3"/>
        <v>----</v>
      </c>
    </row>
    <row r="12" spans="1:10">
      <c r="A12" s="102"/>
      <c r="B12" s="103"/>
      <c r="C12" s="770"/>
      <c r="D12" s="770"/>
      <c r="E12" s="739"/>
      <c r="F12" s="807" t="str">
        <f t="shared" si="1"/>
        <v>----</v>
      </c>
      <c r="G12" s="739"/>
      <c r="H12" s="771" t="str">
        <f t="shared" si="2"/>
        <v>----</v>
      </c>
      <c r="I12" s="734"/>
      <c r="J12" s="772" t="str">
        <f t="shared" si="3"/>
        <v>----</v>
      </c>
    </row>
    <row r="13" spans="1:10">
      <c r="A13" s="102"/>
      <c r="B13" s="103"/>
      <c r="C13" s="770"/>
      <c r="D13" s="770"/>
      <c r="E13" s="739"/>
      <c r="F13" s="807" t="str">
        <f t="shared" si="1"/>
        <v>----</v>
      </c>
      <c r="G13" s="739"/>
      <c r="H13" s="771" t="str">
        <f t="shared" si="2"/>
        <v>----</v>
      </c>
      <c r="I13" s="734"/>
      <c r="J13" s="772" t="str">
        <f t="shared" si="3"/>
        <v>----</v>
      </c>
    </row>
    <row r="14" spans="1:10">
      <c r="A14" s="102"/>
      <c r="B14" s="103"/>
      <c r="C14" s="770"/>
      <c r="D14" s="770"/>
      <c r="E14" s="739"/>
      <c r="F14" s="807" t="str">
        <f t="shared" si="1"/>
        <v>----</v>
      </c>
      <c r="G14" s="739"/>
      <c r="H14" s="771" t="str">
        <f t="shared" si="2"/>
        <v>----</v>
      </c>
      <c r="I14" s="734"/>
      <c r="J14" s="772" t="str">
        <f t="shared" si="3"/>
        <v>----</v>
      </c>
    </row>
    <row r="15" spans="1:10">
      <c r="A15" s="102"/>
      <c r="B15" s="103"/>
      <c r="C15" s="770"/>
      <c r="D15" s="770"/>
      <c r="E15" s="739"/>
      <c r="F15" s="807" t="str">
        <f t="shared" si="1"/>
        <v>----</v>
      </c>
      <c r="G15" s="739"/>
      <c r="H15" s="771" t="str">
        <f t="shared" si="2"/>
        <v>----</v>
      </c>
      <c r="I15" s="734"/>
      <c r="J15" s="772" t="str">
        <f t="shared" si="3"/>
        <v>----</v>
      </c>
    </row>
    <row r="16" spans="1:10">
      <c r="A16" s="102"/>
      <c r="B16" s="103"/>
      <c r="C16" s="770"/>
      <c r="D16" s="770"/>
      <c r="E16" s="739"/>
      <c r="F16" s="807" t="str">
        <f t="shared" si="1"/>
        <v>----</v>
      </c>
      <c r="G16" s="739"/>
      <c r="H16" s="771" t="str">
        <f t="shared" si="2"/>
        <v>----</v>
      </c>
      <c r="I16" s="734"/>
      <c r="J16" s="772" t="str">
        <f t="shared" si="3"/>
        <v>----</v>
      </c>
    </row>
    <row r="17" spans="1:10">
      <c r="A17" s="102"/>
      <c r="B17" s="103"/>
      <c r="C17" s="770"/>
      <c r="D17" s="770"/>
      <c r="E17" s="739"/>
      <c r="F17" s="807" t="str">
        <f t="shared" si="1"/>
        <v>----</v>
      </c>
      <c r="G17" s="739"/>
      <c r="H17" s="771" t="str">
        <f t="shared" si="2"/>
        <v>----</v>
      </c>
      <c r="I17" s="734"/>
      <c r="J17" s="772" t="str">
        <f t="shared" si="3"/>
        <v>----</v>
      </c>
    </row>
    <row r="18" spans="1:10">
      <c r="A18" s="102"/>
      <c r="B18" s="103"/>
      <c r="C18" s="770"/>
      <c r="D18" s="770"/>
      <c r="E18" s="739"/>
      <c r="F18" s="807" t="str">
        <f t="shared" si="1"/>
        <v>----</v>
      </c>
      <c r="G18" s="739"/>
      <c r="H18" s="771" t="str">
        <f t="shared" si="2"/>
        <v>----</v>
      </c>
      <c r="I18" s="734"/>
      <c r="J18" s="772" t="str">
        <f t="shared" si="3"/>
        <v>----</v>
      </c>
    </row>
    <row r="19" spans="1:10">
      <c r="A19" s="102"/>
      <c r="B19" s="103"/>
      <c r="C19" s="770"/>
      <c r="D19" s="770"/>
      <c r="E19" s="739"/>
      <c r="F19" s="807" t="str">
        <f t="shared" si="1"/>
        <v>----</v>
      </c>
      <c r="G19" s="739"/>
      <c r="H19" s="771" t="str">
        <f t="shared" si="2"/>
        <v>----</v>
      </c>
      <c r="I19" s="734"/>
      <c r="J19" s="772" t="str">
        <f t="shared" si="3"/>
        <v>----</v>
      </c>
    </row>
    <row r="20" spans="1:10">
      <c r="A20" s="116"/>
      <c r="B20" s="117"/>
      <c r="C20" s="773"/>
      <c r="D20" s="773"/>
      <c r="E20" s="739"/>
      <c r="F20" s="807" t="str">
        <f t="shared" si="1"/>
        <v>----</v>
      </c>
      <c r="G20" s="740"/>
      <c r="H20" s="774" t="str">
        <f t="shared" si="2"/>
        <v>----</v>
      </c>
      <c r="I20" s="735"/>
      <c r="J20" s="775" t="str">
        <f t="shared" si="3"/>
        <v>----</v>
      </c>
    </row>
    <row r="21" spans="1:10" ht="15.75" thickBot="1">
      <c r="A21" s="74"/>
      <c r="B21" s="75"/>
      <c r="C21" s="783"/>
      <c r="D21" s="783"/>
      <c r="E21" s="740"/>
      <c r="F21" s="807" t="str">
        <f t="shared" si="1"/>
        <v>----</v>
      </c>
      <c r="G21" s="796"/>
      <c r="H21" s="801" t="str">
        <f t="shared" si="2"/>
        <v>----</v>
      </c>
      <c r="I21" s="793"/>
      <c r="J21" s="802" t="str">
        <f t="shared" si="3"/>
        <v>----</v>
      </c>
    </row>
    <row r="22" spans="1:10" ht="15.75" thickBot="1">
      <c r="A22" s="27"/>
      <c r="B22" s="27"/>
      <c r="C22" s="814"/>
      <c r="D22" s="814"/>
      <c r="E22" s="814"/>
      <c r="F22" s="815">
        <f>SUM(F4:F21)</f>
        <v>1188.25</v>
      </c>
      <c r="G22" s="814"/>
      <c r="H22" s="815">
        <f>SUM(H4:H21)</f>
        <v>10060.600000000064</v>
      </c>
      <c r="I22" s="814"/>
      <c r="J22" s="815">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46EE-A716-481F-A134-6D58EDD0FD1B}">
  <dimension ref="A1:K39"/>
  <sheetViews>
    <sheetView workbookViewId="0">
      <selection activeCell="L7" sqref="L7"/>
    </sheetView>
  </sheetViews>
  <sheetFormatPr defaultRowHeight="15"/>
  <cols>
    <col min="2" max="2" width="22" bestFit="1" customWidth="1"/>
    <col min="3" max="4" width="10.7109375" bestFit="1" customWidth="1"/>
    <col min="5" max="5" width="10.7109375" style="432" bestFit="1" customWidth="1"/>
    <col min="6" max="6" width="11.7109375" style="432" customWidth="1"/>
    <col min="7" max="7" width="10.7109375" style="432" bestFit="1" customWidth="1"/>
    <col min="8" max="8" width="11.7109375" style="432" customWidth="1"/>
    <col min="9" max="9" width="10.7109375" bestFit="1" customWidth="1"/>
    <col min="10" max="10" width="11.7109375" customWidth="1"/>
  </cols>
  <sheetData>
    <row r="1" spans="1:10" ht="14.25" customHeight="1" thickBot="1">
      <c r="A1" s="952" t="s">
        <v>123</v>
      </c>
      <c r="B1" s="953"/>
      <c r="C1" s="953"/>
      <c r="D1" s="953"/>
      <c r="E1" s="953"/>
      <c r="F1" s="953"/>
      <c r="G1" s="953"/>
      <c r="H1" s="953"/>
      <c r="I1" s="953"/>
      <c r="J1" s="954"/>
    </row>
    <row r="2" spans="1:10" s="432" customFormat="1" ht="14.25" customHeight="1">
      <c r="A2" s="959" t="s">
        <v>110</v>
      </c>
      <c r="B2" s="961" t="s">
        <v>111</v>
      </c>
      <c r="C2" s="961" t="s">
        <v>112</v>
      </c>
      <c r="D2" s="963" t="s">
        <v>120</v>
      </c>
      <c r="E2" s="957" t="s">
        <v>701</v>
      </c>
      <c r="F2" s="958"/>
      <c r="G2" s="957" t="s">
        <v>702</v>
      </c>
      <c r="H2" s="958"/>
      <c r="I2" s="932" t="s">
        <v>796</v>
      </c>
      <c r="J2" s="933"/>
    </row>
    <row r="3" spans="1:10" ht="57.75" thickBot="1">
      <c r="A3" s="960"/>
      <c r="B3" s="962"/>
      <c r="C3" s="962"/>
      <c r="D3" s="964"/>
      <c r="E3" s="460" t="s">
        <v>121</v>
      </c>
      <c r="F3" s="468" t="s">
        <v>704</v>
      </c>
      <c r="G3" s="460" t="s">
        <v>121</v>
      </c>
      <c r="H3" s="468" t="s">
        <v>704</v>
      </c>
      <c r="I3" s="478" t="s">
        <v>121</v>
      </c>
      <c r="J3" s="25" t="s">
        <v>704</v>
      </c>
    </row>
    <row r="4" spans="1:10" ht="15.75" customHeight="1">
      <c r="A4" s="442">
        <v>44180</v>
      </c>
      <c r="B4" s="443" t="s">
        <v>357</v>
      </c>
      <c r="C4" s="72">
        <v>774105.11</v>
      </c>
      <c r="D4" s="429">
        <f>C4</f>
        <v>774105.11</v>
      </c>
      <c r="E4" s="469"/>
      <c r="F4" s="470" t="str">
        <f>IF(ISBLANK(E4),"----",E4-$D4)</f>
        <v>----</v>
      </c>
      <c r="G4" s="469"/>
      <c r="H4" s="470" t="str">
        <f>IF(OR(G4="Complete",ISBLANK(G4)),"----",G4-$D4)</f>
        <v>----</v>
      </c>
      <c r="I4" s="479"/>
      <c r="J4" s="73" t="str">
        <f>IF(OR(I4="Complete",ISBLANK(I4)),"----",I4-$D4)</f>
        <v>----</v>
      </c>
    </row>
    <row r="5" spans="1:10" s="432" customFormat="1" ht="15.75" customHeight="1">
      <c r="A5" s="447"/>
      <c r="B5" s="448"/>
      <c r="C5" s="444"/>
      <c r="D5" s="431"/>
      <c r="E5" s="471"/>
      <c r="F5" s="472" t="str">
        <f t="shared" ref="F5:F19" si="0">IF(ISBLANK(E5),"----",E5-$D5)</f>
        <v>----</v>
      </c>
      <c r="G5" s="471"/>
      <c r="H5" s="472" t="str">
        <f t="shared" ref="H5:H19" si="1">IF(OR(G5="Complete",ISBLANK(G5)),"----",G5-$D5)</f>
        <v>----</v>
      </c>
      <c r="I5" s="484"/>
      <c r="J5" s="445" t="str">
        <f t="shared" ref="J5:J19" si="2">IF(OR(I5="Complete",ISBLANK(I5)),"----",I5-$D5)</f>
        <v>----</v>
      </c>
    </row>
    <row r="6" spans="1:10" s="432" customFormat="1">
      <c r="A6" s="449"/>
      <c r="B6" s="450"/>
      <c r="C6" s="446"/>
      <c r="D6" s="466"/>
      <c r="E6" s="473"/>
      <c r="F6" s="485" t="str">
        <f t="shared" si="0"/>
        <v>----</v>
      </c>
      <c r="G6" s="473"/>
      <c r="H6" s="485" t="str">
        <f t="shared" si="1"/>
        <v>----</v>
      </c>
      <c r="I6" s="486"/>
      <c r="J6" s="451" t="str">
        <f t="shared" si="2"/>
        <v>----</v>
      </c>
    </row>
    <row r="7" spans="1:10" s="432" customFormat="1">
      <c r="A7" s="449"/>
      <c r="B7" s="450"/>
      <c r="C7" s="446"/>
      <c r="D7" s="466"/>
      <c r="E7" s="473"/>
      <c r="F7" s="485" t="str">
        <f t="shared" si="0"/>
        <v>----</v>
      </c>
      <c r="G7" s="473"/>
      <c r="H7" s="485" t="str">
        <f t="shared" si="1"/>
        <v>----</v>
      </c>
      <c r="I7" s="486"/>
      <c r="J7" s="451" t="str">
        <f t="shared" si="2"/>
        <v>----</v>
      </c>
    </row>
    <row r="8" spans="1:10" s="432" customFormat="1">
      <c r="A8" s="449"/>
      <c r="B8" s="450"/>
      <c r="C8" s="446"/>
      <c r="D8" s="466"/>
      <c r="E8" s="473"/>
      <c r="F8" s="485" t="str">
        <f t="shared" si="0"/>
        <v>----</v>
      </c>
      <c r="G8" s="473"/>
      <c r="H8" s="485" t="str">
        <f t="shared" si="1"/>
        <v>----</v>
      </c>
      <c r="I8" s="486"/>
      <c r="J8" s="451" t="str">
        <f t="shared" si="2"/>
        <v>----</v>
      </c>
    </row>
    <row r="9" spans="1:10" s="432" customFormat="1">
      <c r="A9" s="449"/>
      <c r="B9" s="450"/>
      <c r="C9" s="446"/>
      <c r="D9" s="466"/>
      <c r="E9" s="473"/>
      <c r="F9" s="485" t="str">
        <f t="shared" si="0"/>
        <v>----</v>
      </c>
      <c r="G9" s="473"/>
      <c r="H9" s="485" t="str">
        <f t="shared" si="1"/>
        <v>----</v>
      </c>
      <c r="I9" s="486"/>
      <c r="J9" s="451" t="str">
        <f t="shared" si="2"/>
        <v>----</v>
      </c>
    </row>
    <row r="10" spans="1:10" s="432" customFormat="1">
      <c r="A10" s="449"/>
      <c r="B10" s="450"/>
      <c r="C10" s="446"/>
      <c r="D10" s="466"/>
      <c r="E10" s="473"/>
      <c r="F10" s="485" t="str">
        <f t="shared" si="0"/>
        <v>----</v>
      </c>
      <c r="G10" s="473"/>
      <c r="H10" s="485" t="str">
        <f t="shared" si="1"/>
        <v>----</v>
      </c>
      <c r="I10" s="486"/>
      <c r="J10" s="451" t="str">
        <f t="shared" si="2"/>
        <v>----</v>
      </c>
    </row>
    <row r="11" spans="1:10" s="432" customFormat="1">
      <c r="A11" s="449"/>
      <c r="B11" s="450"/>
      <c r="C11" s="446"/>
      <c r="D11" s="466"/>
      <c r="E11" s="473"/>
      <c r="F11" s="485" t="str">
        <f t="shared" si="0"/>
        <v>----</v>
      </c>
      <c r="G11" s="473"/>
      <c r="H11" s="485" t="str">
        <f t="shared" si="1"/>
        <v>----</v>
      </c>
      <c r="I11" s="486"/>
      <c r="J11" s="451" t="str">
        <f t="shared" si="2"/>
        <v>----</v>
      </c>
    </row>
    <row r="12" spans="1:10" s="432" customFormat="1">
      <c r="A12" s="449"/>
      <c r="B12" s="450"/>
      <c r="C12" s="446"/>
      <c r="D12" s="466"/>
      <c r="E12" s="473"/>
      <c r="F12" s="485" t="str">
        <f t="shared" si="0"/>
        <v>----</v>
      </c>
      <c r="G12" s="473"/>
      <c r="H12" s="485" t="str">
        <f t="shared" si="1"/>
        <v>----</v>
      </c>
      <c r="I12" s="486"/>
      <c r="J12" s="451" t="str">
        <f t="shared" si="2"/>
        <v>----</v>
      </c>
    </row>
    <row r="13" spans="1:10" s="432" customFormat="1">
      <c r="A13" s="449"/>
      <c r="B13" s="450"/>
      <c r="C13" s="446"/>
      <c r="D13" s="466"/>
      <c r="E13" s="473"/>
      <c r="F13" s="485" t="str">
        <f t="shared" si="0"/>
        <v>----</v>
      </c>
      <c r="G13" s="473"/>
      <c r="H13" s="485" t="str">
        <f t="shared" si="1"/>
        <v>----</v>
      </c>
      <c r="I13" s="486"/>
      <c r="J13" s="451" t="str">
        <f t="shared" si="2"/>
        <v>----</v>
      </c>
    </row>
    <row r="14" spans="1:10" s="432" customFormat="1">
      <c r="A14" s="449"/>
      <c r="B14" s="450"/>
      <c r="C14" s="446"/>
      <c r="D14" s="466"/>
      <c r="E14" s="473"/>
      <c r="F14" s="485" t="str">
        <f t="shared" si="0"/>
        <v>----</v>
      </c>
      <c r="G14" s="473"/>
      <c r="H14" s="485" t="str">
        <f t="shared" si="1"/>
        <v>----</v>
      </c>
      <c r="I14" s="486"/>
      <c r="J14" s="451" t="str">
        <f t="shared" si="2"/>
        <v>----</v>
      </c>
    </row>
    <row r="15" spans="1:10" s="432" customFormat="1">
      <c r="A15" s="449"/>
      <c r="B15" s="450"/>
      <c r="C15" s="446"/>
      <c r="D15" s="466"/>
      <c r="E15" s="473"/>
      <c r="F15" s="485" t="str">
        <f t="shared" si="0"/>
        <v>----</v>
      </c>
      <c r="G15" s="473"/>
      <c r="H15" s="485" t="str">
        <f t="shared" si="1"/>
        <v>----</v>
      </c>
      <c r="I15" s="486"/>
      <c r="J15" s="451" t="str">
        <f t="shared" si="2"/>
        <v>----</v>
      </c>
    </row>
    <row r="16" spans="1:10" s="432" customFormat="1">
      <c r="A16" s="449"/>
      <c r="B16" s="450"/>
      <c r="C16" s="446"/>
      <c r="D16" s="466"/>
      <c r="E16" s="473"/>
      <c r="F16" s="485" t="str">
        <f t="shared" si="0"/>
        <v>----</v>
      </c>
      <c r="G16" s="473"/>
      <c r="H16" s="485" t="str">
        <f t="shared" si="1"/>
        <v>----</v>
      </c>
      <c r="I16" s="486"/>
      <c r="J16" s="451" t="str">
        <f t="shared" si="2"/>
        <v>----</v>
      </c>
    </row>
    <row r="17" spans="1:11" s="432" customFormat="1">
      <c r="A17" s="449"/>
      <c r="B17" s="450"/>
      <c r="C17" s="446"/>
      <c r="D17" s="466"/>
      <c r="E17" s="473"/>
      <c r="F17" s="485" t="str">
        <f t="shared" si="0"/>
        <v>----</v>
      </c>
      <c r="G17" s="473"/>
      <c r="H17" s="485" t="str">
        <f t="shared" si="1"/>
        <v>----</v>
      </c>
      <c r="I17" s="486"/>
      <c r="J17" s="451" t="str">
        <f t="shared" si="2"/>
        <v>----</v>
      </c>
    </row>
    <row r="18" spans="1:11">
      <c r="A18" s="452"/>
      <c r="B18" s="453"/>
      <c r="C18" s="454"/>
      <c r="D18" s="467"/>
      <c r="E18" s="474"/>
      <c r="F18" s="487" t="str">
        <f t="shared" si="0"/>
        <v>----</v>
      </c>
      <c r="G18" s="474"/>
      <c r="H18" s="487" t="str">
        <f t="shared" si="1"/>
        <v>----</v>
      </c>
      <c r="I18" s="488"/>
      <c r="J18" s="455" t="str">
        <f t="shared" si="2"/>
        <v>----</v>
      </c>
    </row>
    <row r="19" spans="1:11" ht="15.75" thickBot="1">
      <c r="A19" s="74"/>
      <c r="B19" s="75"/>
      <c r="C19" s="76"/>
      <c r="D19" s="430"/>
      <c r="E19" s="475"/>
      <c r="F19" s="476" t="str">
        <f t="shared" si="0"/>
        <v>----</v>
      </c>
      <c r="G19" s="475"/>
      <c r="H19" s="476" t="str">
        <f t="shared" si="1"/>
        <v>----</v>
      </c>
      <c r="I19" s="481"/>
      <c r="J19" s="77" t="str">
        <f t="shared" si="2"/>
        <v>----</v>
      </c>
    </row>
    <row r="20" spans="1:11" ht="15.75" thickBot="1">
      <c r="A20" s="27"/>
      <c r="B20" s="27"/>
      <c r="C20" s="28"/>
      <c r="D20" s="28"/>
      <c r="E20" s="439"/>
      <c r="F20" s="441">
        <f>SUM(F4:F19)</f>
        <v>0</v>
      </c>
      <c r="G20" s="439"/>
      <c r="H20" s="441">
        <f>SUM(H4:H19)</f>
        <v>0</v>
      </c>
      <c r="I20" s="28"/>
      <c r="J20" s="69">
        <f>SUM(J4:J19)</f>
        <v>0</v>
      </c>
      <c r="K20" s="17"/>
    </row>
    <row r="21" spans="1:11">
      <c r="A21" s="17"/>
      <c r="B21" s="17"/>
      <c r="C21" s="20"/>
      <c r="D21" s="20"/>
      <c r="E21" s="435"/>
      <c r="F21" s="435"/>
      <c r="G21" s="435"/>
      <c r="H21" s="435"/>
      <c r="I21" s="20"/>
      <c r="J21" s="20"/>
      <c r="K21" s="17"/>
    </row>
    <row r="22" spans="1:11">
      <c r="A22" s="17"/>
      <c r="B22" s="17"/>
      <c r="C22" s="20"/>
      <c r="D22" s="20"/>
      <c r="E22" s="435"/>
      <c r="F22" s="435"/>
      <c r="G22" s="435"/>
      <c r="H22" s="435"/>
      <c r="I22" s="20"/>
      <c r="J22" s="20"/>
      <c r="K22" s="17"/>
    </row>
    <row r="23" spans="1:11">
      <c r="A23" s="17"/>
      <c r="B23" s="17"/>
      <c r="C23" s="20"/>
      <c r="D23" s="20"/>
      <c r="E23" s="435"/>
      <c r="F23" s="435"/>
      <c r="G23" s="435"/>
      <c r="H23" s="435"/>
      <c r="I23" s="20"/>
      <c r="J23" s="20"/>
      <c r="K23" s="17"/>
    </row>
    <row r="24" spans="1:11">
      <c r="A24" s="17"/>
      <c r="B24" s="17"/>
      <c r="C24" s="20"/>
      <c r="D24" s="20"/>
      <c r="E24" s="435"/>
      <c r="F24" s="435"/>
      <c r="G24" s="435"/>
      <c r="H24" s="435"/>
      <c r="I24" s="20"/>
      <c r="J24" s="20"/>
      <c r="K24" s="17"/>
    </row>
    <row r="25" spans="1:11">
      <c r="A25" s="17"/>
      <c r="B25" s="17"/>
      <c r="C25" s="20"/>
      <c r="D25" s="20"/>
      <c r="E25" s="435"/>
      <c r="F25" s="435"/>
      <c r="G25" s="435"/>
      <c r="H25" s="435"/>
      <c r="I25" s="20"/>
      <c r="J25" s="20"/>
      <c r="K25" s="17"/>
    </row>
    <row r="26" spans="1:11">
      <c r="A26" s="17"/>
      <c r="B26" s="17"/>
      <c r="C26" s="20"/>
      <c r="D26" s="20"/>
      <c r="E26" s="435"/>
      <c r="F26" s="435"/>
      <c r="G26" s="435"/>
      <c r="H26" s="435"/>
      <c r="I26" s="20"/>
      <c r="J26" s="20"/>
      <c r="K26" s="17"/>
    </row>
    <row r="27" spans="1:11">
      <c r="A27" s="17"/>
      <c r="B27" s="17"/>
      <c r="C27" s="20"/>
      <c r="D27" s="20"/>
      <c r="E27" s="435"/>
      <c r="F27" s="435"/>
      <c r="G27" s="435"/>
      <c r="H27" s="435"/>
      <c r="I27" s="20"/>
      <c r="J27" s="20"/>
      <c r="K27" s="17"/>
    </row>
    <row r="28" spans="1:11">
      <c r="A28" s="17"/>
      <c r="B28" s="17"/>
      <c r="C28" s="20"/>
      <c r="D28" s="20"/>
      <c r="E28" s="435"/>
      <c r="F28" s="435"/>
      <c r="G28" s="435"/>
      <c r="H28" s="435"/>
      <c r="I28" s="20"/>
      <c r="J28" s="20"/>
      <c r="K28" s="17"/>
    </row>
    <row r="29" spans="1:11">
      <c r="A29" s="17"/>
      <c r="B29" s="17"/>
      <c r="C29" s="20"/>
      <c r="D29" s="20"/>
      <c r="E29" s="435"/>
      <c r="F29" s="435"/>
      <c r="G29" s="435"/>
      <c r="H29" s="435"/>
      <c r="I29" s="20"/>
      <c r="J29" s="20"/>
      <c r="K29" s="17"/>
    </row>
    <row r="30" spans="1:11">
      <c r="A30" s="17"/>
      <c r="B30" s="17"/>
      <c r="C30" s="20"/>
      <c r="D30" s="20"/>
      <c r="E30" s="435"/>
      <c r="F30" s="435"/>
      <c r="G30" s="435"/>
      <c r="H30" s="435"/>
      <c r="I30" s="20"/>
      <c r="J30" s="20"/>
      <c r="K30" s="17"/>
    </row>
    <row r="31" spans="1:11">
      <c r="A31" s="17"/>
      <c r="B31" s="17"/>
      <c r="C31" s="20"/>
      <c r="D31" s="20"/>
      <c r="E31" s="435"/>
      <c r="F31" s="435"/>
      <c r="G31" s="435"/>
      <c r="H31" s="435"/>
      <c r="I31" s="20"/>
      <c r="J31" s="20"/>
      <c r="K31" s="17"/>
    </row>
    <row r="32" spans="1:11">
      <c r="A32" s="17"/>
      <c r="B32" s="17"/>
      <c r="C32" s="20"/>
      <c r="D32" s="20"/>
      <c r="E32" s="435"/>
      <c r="F32" s="435"/>
      <c r="G32" s="435"/>
      <c r="H32" s="435"/>
      <c r="I32" s="20"/>
      <c r="J32" s="20"/>
      <c r="K32" s="17"/>
    </row>
    <row r="33" spans="1:11">
      <c r="A33" s="17"/>
      <c r="B33" s="17"/>
      <c r="C33" s="20"/>
      <c r="D33" s="20"/>
      <c r="E33" s="435"/>
      <c r="F33" s="435"/>
      <c r="G33" s="435"/>
      <c r="H33" s="435"/>
      <c r="I33" s="20"/>
      <c r="J33" s="20"/>
      <c r="K33" s="17"/>
    </row>
    <row r="34" spans="1:11">
      <c r="A34" s="17"/>
      <c r="B34" s="17"/>
      <c r="C34" s="20"/>
      <c r="D34" s="20"/>
      <c r="E34" s="435"/>
      <c r="F34" s="435"/>
      <c r="G34" s="435"/>
      <c r="H34" s="435"/>
      <c r="I34" s="20"/>
      <c r="J34" s="20"/>
      <c r="K34" s="17"/>
    </row>
    <row r="35" spans="1:11">
      <c r="A35" s="17"/>
      <c r="B35" s="17"/>
      <c r="C35" s="20"/>
      <c r="D35" s="20"/>
      <c r="E35" s="435"/>
      <c r="F35" s="435"/>
      <c r="G35" s="435"/>
      <c r="H35" s="435"/>
      <c r="I35" s="20"/>
      <c r="J35" s="20"/>
      <c r="K35" s="17"/>
    </row>
    <row r="36" spans="1:11">
      <c r="C36" s="21"/>
      <c r="D36" s="21"/>
      <c r="E36" s="436"/>
      <c r="F36" s="436"/>
      <c r="G36" s="436"/>
      <c r="H36" s="436"/>
      <c r="I36" s="21"/>
      <c r="J36" s="21"/>
    </row>
    <row r="37" spans="1:11">
      <c r="C37" s="21"/>
      <c r="D37" s="21"/>
      <c r="E37" s="436"/>
      <c r="F37" s="436"/>
      <c r="G37" s="436"/>
      <c r="H37" s="436"/>
      <c r="I37" s="21"/>
      <c r="J37" s="21"/>
    </row>
    <row r="38" spans="1:11">
      <c r="C38" s="22"/>
      <c r="D38" s="22"/>
      <c r="E38" s="437"/>
      <c r="F38" s="437"/>
      <c r="G38" s="437"/>
      <c r="H38" s="437"/>
      <c r="I38" s="22"/>
      <c r="J38" s="22"/>
    </row>
    <row r="39" spans="1:11">
      <c r="C39" s="22"/>
      <c r="D39" s="22"/>
      <c r="E39" s="437"/>
      <c r="F39" s="437"/>
      <c r="G39" s="437"/>
      <c r="H39" s="437"/>
      <c r="I39" s="22"/>
      <c r="J39" s="22"/>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F0DB3-A4DA-4802-94A3-824C51C8D164}">
  <dimension ref="A1:J10"/>
  <sheetViews>
    <sheetView workbookViewId="0">
      <selection activeCell="J17" sqref="J17"/>
    </sheetView>
  </sheetViews>
  <sheetFormatPr defaultRowHeight="15"/>
  <cols>
    <col min="2" max="2" width="20.5703125" bestFit="1" customWidth="1"/>
    <col min="3" max="3" width="12.5703125" bestFit="1" customWidth="1"/>
    <col min="4" max="4" width="11.85546875" bestFit="1" customWidth="1"/>
    <col min="5" max="5" width="10.7109375" style="432" bestFit="1" customWidth="1"/>
    <col min="6" max="6" width="12.5703125" style="432" customWidth="1"/>
    <col min="7" max="7" width="10.7109375" style="432" bestFit="1" customWidth="1"/>
    <col min="8" max="8" width="12.5703125" style="432" customWidth="1"/>
    <col min="9" max="9" width="10.7109375" bestFit="1" customWidth="1"/>
    <col min="10" max="10" width="12.5703125" customWidth="1"/>
  </cols>
  <sheetData>
    <row r="1" spans="1:10" ht="15.75" thickBot="1">
      <c r="A1" s="952" t="s">
        <v>182</v>
      </c>
      <c r="B1" s="953"/>
      <c r="C1" s="953"/>
      <c r="D1" s="953"/>
      <c r="E1" s="953"/>
      <c r="F1" s="953"/>
      <c r="G1" s="953"/>
      <c r="H1" s="953"/>
      <c r="I1" s="953"/>
      <c r="J1" s="954"/>
    </row>
    <row r="2" spans="1:10" s="432" customFormat="1">
      <c r="A2" s="959" t="s">
        <v>110</v>
      </c>
      <c r="B2" s="961" t="s">
        <v>111</v>
      </c>
      <c r="C2" s="961" t="s">
        <v>112</v>
      </c>
      <c r="D2" s="963" t="s">
        <v>120</v>
      </c>
      <c r="E2" s="957" t="s">
        <v>701</v>
      </c>
      <c r="F2" s="958"/>
      <c r="G2" s="957" t="s">
        <v>702</v>
      </c>
      <c r="H2" s="958"/>
      <c r="I2" s="932" t="s">
        <v>796</v>
      </c>
      <c r="J2" s="933"/>
    </row>
    <row r="3" spans="1:10" ht="46.5" thickBot="1">
      <c r="A3" s="960"/>
      <c r="B3" s="962"/>
      <c r="C3" s="962"/>
      <c r="D3" s="964"/>
      <c r="E3" s="460" t="s">
        <v>121</v>
      </c>
      <c r="F3" s="468" t="s">
        <v>704</v>
      </c>
      <c r="G3" s="460" t="s">
        <v>121</v>
      </c>
      <c r="H3" s="468" t="s">
        <v>704</v>
      </c>
      <c r="I3" s="478" t="s">
        <v>121</v>
      </c>
      <c r="J3" s="25" t="s">
        <v>704</v>
      </c>
    </row>
    <row r="4" spans="1:10">
      <c r="A4" s="70">
        <v>43852</v>
      </c>
      <c r="B4" s="71" t="s">
        <v>199</v>
      </c>
      <c r="C4" s="72">
        <v>356465.93</v>
      </c>
      <c r="D4" s="72">
        <f>C4</f>
        <v>356465.93</v>
      </c>
      <c r="E4" s="469">
        <v>361583.6</v>
      </c>
      <c r="F4" s="470">
        <f t="shared" ref="F4:F9" si="0">IF(ISBLANK(E4),"----",E4-D4)</f>
        <v>5117.6699999999837</v>
      </c>
      <c r="G4" s="469" t="s">
        <v>703</v>
      </c>
      <c r="H4" s="470" t="str">
        <f t="shared" ref="H4:H9" si="1">IF(OR(G4="Complete",ISBLANK(G4)),"----",G4-$D4)</f>
        <v>----</v>
      </c>
      <c r="I4" s="479" t="s">
        <v>703</v>
      </c>
      <c r="J4" s="73" t="str">
        <f t="shared" ref="J4:J9" si="2">IF(OR(I4="Complete",ISBLANK(I4)),"----",I4-$D4)</f>
        <v>----</v>
      </c>
    </row>
    <row r="5" spans="1:10">
      <c r="A5" s="88">
        <v>43942</v>
      </c>
      <c r="B5" s="101" t="s">
        <v>243</v>
      </c>
      <c r="C5" s="82">
        <v>691772.2</v>
      </c>
      <c r="D5" s="82">
        <f>C5</f>
        <v>691772.2</v>
      </c>
      <c r="E5" s="471">
        <v>676290.05</v>
      </c>
      <c r="F5" s="472">
        <f t="shared" si="0"/>
        <v>-15482.149999999907</v>
      </c>
      <c r="G5" s="471" t="s">
        <v>703</v>
      </c>
      <c r="H5" s="472" t="str">
        <f t="shared" si="1"/>
        <v>----</v>
      </c>
      <c r="I5" s="484" t="s">
        <v>703</v>
      </c>
      <c r="J5" s="83" t="str">
        <f t="shared" si="2"/>
        <v>----</v>
      </c>
    </row>
    <row r="6" spans="1:10">
      <c r="A6" s="88">
        <v>43942</v>
      </c>
      <c r="B6" s="101" t="s">
        <v>244</v>
      </c>
      <c r="C6" s="82">
        <v>285958.26</v>
      </c>
      <c r="D6" s="82">
        <f>C6</f>
        <v>285958.26</v>
      </c>
      <c r="E6" s="473"/>
      <c r="F6" s="472" t="str">
        <f t="shared" si="0"/>
        <v>----</v>
      </c>
      <c r="G6" s="471"/>
      <c r="H6" s="472" t="str">
        <f t="shared" si="1"/>
        <v>----</v>
      </c>
      <c r="I6" s="484"/>
      <c r="J6" s="83" t="str">
        <f t="shared" si="2"/>
        <v>----</v>
      </c>
    </row>
    <row r="7" spans="1:10">
      <c r="A7" s="88"/>
      <c r="B7" s="101"/>
      <c r="C7" s="82"/>
      <c r="D7" s="82"/>
      <c r="E7" s="473"/>
      <c r="F7" s="472" t="str">
        <f t="shared" si="0"/>
        <v>----</v>
      </c>
      <c r="G7" s="471"/>
      <c r="H7" s="472" t="str">
        <f t="shared" si="1"/>
        <v>----</v>
      </c>
      <c r="I7" s="484"/>
      <c r="J7" s="83" t="str">
        <f t="shared" si="2"/>
        <v>----</v>
      </c>
    </row>
    <row r="8" spans="1:10">
      <c r="A8" s="88"/>
      <c r="B8" s="101"/>
      <c r="C8" s="82"/>
      <c r="D8" s="82"/>
      <c r="E8" s="473"/>
      <c r="F8" s="472" t="str">
        <f t="shared" si="0"/>
        <v>----</v>
      </c>
      <c r="G8" s="471"/>
      <c r="H8" s="472" t="str">
        <f t="shared" si="1"/>
        <v>----</v>
      </c>
      <c r="I8" s="484"/>
      <c r="J8" s="83" t="str">
        <f t="shared" si="2"/>
        <v>----</v>
      </c>
    </row>
    <row r="9" spans="1:10" ht="15.75" thickBot="1">
      <c r="A9" s="74"/>
      <c r="B9" s="75"/>
      <c r="C9" s="76"/>
      <c r="D9" s="76"/>
      <c r="E9" s="658"/>
      <c r="F9" s="659" t="str">
        <f t="shared" si="0"/>
        <v>----</v>
      </c>
      <c r="G9" s="475"/>
      <c r="H9" s="476" t="str">
        <f t="shared" si="1"/>
        <v>----</v>
      </c>
      <c r="I9" s="481"/>
      <c r="J9" s="77" t="str">
        <f t="shared" si="2"/>
        <v>----</v>
      </c>
    </row>
    <row r="10" spans="1:10" ht="15.75" thickBot="1">
      <c r="A10" s="27"/>
      <c r="B10" s="27"/>
      <c r="C10" s="28"/>
      <c r="D10" s="28"/>
      <c r="E10" s="439"/>
      <c r="F10" s="441">
        <f>SUM(F4:F9)</f>
        <v>-10364.479999999923</v>
      </c>
      <c r="G10" s="439"/>
      <c r="H10" s="441">
        <f>SUM(H4:H9)</f>
        <v>0</v>
      </c>
      <c r="I10" s="28"/>
      <c r="J10" s="69">
        <f>SUM(J4:J9)</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340B6-0435-44A6-920A-985317425079}">
  <dimension ref="A1:J23"/>
  <sheetViews>
    <sheetView workbookViewId="0">
      <selection activeCell="M17" sqref="M17"/>
    </sheetView>
  </sheetViews>
  <sheetFormatPr defaultRowHeight="15"/>
  <cols>
    <col min="2" max="2" width="22.85546875" bestFit="1" customWidth="1"/>
    <col min="3" max="3" width="10.7109375" bestFit="1" customWidth="1"/>
    <col min="4" max="4" width="11.140625" customWidth="1"/>
    <col min="5" max="5" width="10.7109375" style="432" bestFit="1" customWidth="1"/>
    <col min="6" max="6" width="11.85546875" style="432" customWidth="1"/>
    <col min="7" max="7" width="10.7109375" style="432" bestFit="1" customWidth="1"/>
    <col min="8" max="8" width="11.85546875" style="432" customWidth="1"/>
    <col min="9" max="9" width="10.7109375" bestFit="1" customWidth="1"/>
    <col min="10" max="10" width="11.85546875" customWidth="1"/>
  </cols>
  <sheetData>
    <row r="1" spans="1:10" ht="15.75" thickBot="1">
      <c r="A1" s="952" t="s">
        <v>183</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57.75" thickBot="1">
      <c r="A3" s="960"/>
      <c r="B3" s="962"/>
      <c r="C3" s="962"/>
      <c r="D3" s="974"/>
      <c r="E3" s="460" t="s">
        <v>121</v>
      </c>
      <c r="F3" s="468" t="s">
        <v>704</v>
      </c>
      <c r="G3" s="460" t="s">
        <v>121</v>
      </c>
      <c r="H3" s="468" t="s">
        <v>704</v>
      </c>
      <c r="I3" s="478" t="s">
        <v>121</v>
      </c>
      <c r="J3" s="25" t="s">
        <v>704</v>
      </c>
    </row>
    <row r="4" spans="1:10">
      <c r="A4" s="70">
        <v>43852</v>
      </c>
      <c r="B4" s="71" t="s">
        <v>198</v>
      </c>
      <c r="C4" s="72">
        <v>370916</v>
      </c>
      <c r="D4" s="429">
        <f t="shared" ref="D4:D9" si="0">C4</f>
        <v>370916</v>
      </c>
      <c r="E4" s="469"/>
      <c r="F4" s="470" t="str">
        <f t="shared" ref="F4:F22" si="1">IF(ISBLANK(E4),"----",E4-D4)</f>
        <v>----</v>
      </c>
      <c r="G4" s="469"/>
      <c r="H4" s="470" t="str">
        <f t="shared" ref="H4:H22" si="2">IF(OR(G4="Complete",ISBLANK(G4)),"----",G4-$D4)</f>
        <v>----</v>
      </c>
      <c r="I4" s="479"/>
      <c r="J4" s="73" t="str">
        <f t="shared" ref="J4:J22" si="3">IF(OR(I4="Complete",ISBLANK(I4)),"----",I4-$D4)</f>
        <v>----</v>
      </c>
    </row>
    <row r="5" spans="1:10">
      <c r="A5" s="88">
        <v>44243</v>
      </c>
      <c r="B5" s="101" t="s">
        <v>398</v>
      </c>
      <c r="C5" s="82">
        <v>475510.3</v>
      </c>
      <c r="D5" s="431">
        <f t="shared" si="0"/>
        <v>475510.3</v>
      </c>
      <c r="E5" s="471">
        <v>473971.95</v>
      </c>
      <c r="F5" s="472">
        <f t="shared" si="1"/>
        <v>-1538.3499999999767</v>
      </c>
      <c r="G5" s="471" t="s">
        <v>703</v>
      </c>
      <c r="H5" s="472" t="str">
        <f t="shared" si="2"/>
        <v>----</v>
      </c>
      <c r="I5" s="484" t="s">
        <v>703</v>
      </c>
      <c r="J5" s="83" t="str">
        <f t="shared" si="3"/>
        <v>----</v>
      </c>
    </row>
    <row r="6" spans="1:10">
      <c r="A6" s="102">
        <v>44635</v>
      </c>
      <c r="B6" s="103" t="s">
        <v>504</v>
      </c>
      <c r="C6" s="87">
        <v>651352.75</v>
      </c>
      <c r="D6" s="466">
        <f t="shared" si="0"/>
        <v>651352.75</v>
      </c>
      <c r="E6" s="473">
        <v>656835.97</v>
      </c>
      <c r="F6" s="472">
        <f t="shared" si="1"/>
        <v>5483.2199999999721</v>
      </c>
      <c r="G6" s="473" t="s">
        <v>703</v>
      </c>
      <c r="H6" s="472" t="str">
        <f t="shared" si="2"/>
        <v>----</v>
      </c>
      <c r="I6" s="486" t="s">
        <v>703</v>
      </c>
      <c r="J6" s="83" t="str">
        <f t="shared" si="3"/>
        <v>----</v>
      </c>
    </row>
    <row r="7" spans="1:10">
      <c r="A7" s="102">
        <v>44944</v>
      </c>
      <c r="B7" s="103" t="s">
        <v>629</v>
      </c>
      <c r="C7" s="87">
        <v>485307.25</v>
      </c>
      <c r="D7" s="466">
        <f t="shared" si="0"/>
        <v>485307.25</v>
      </c>
      <c r="E7" s="473"/>
      <c r="F7" s="472" t="str">
        <f t="shared" si="1"/>
        <v>----</v>
      </c>
      <c r="G7" s="473"/>
      <c r="H7" s="472" t="str">
        <f t="shared" si="2"/>
        <v>----</v>
      </c>
      <c r="I7" s="486"/>
      <c r="J7" s="83" t="str">
        <f t="shared" si="3"/>
        <v>----</v>
      </c>
    </row>
    <row r="8" spans="1:10">
      <c r="A8" s="102">
        <v>45279</v>
      </c>
      <c r="B8" s="103" t="s">
        <v>691</v>
      </c>
      <c r="C8" s="87">
        <v>432049</v>
      </c>
      <c r="D8" s="466">
        <f t="shared" si="0"/>
        <v>432049</v>
      </c>
      <c r="E8" s="473"/>
      <c r="F8" s="472" t="str">
        <f t="shared" si="1"/>
        <v>----</v>
      </c>
      <c r="G8" s="473"/>
      <c r="H8" s="472" t="str">
        <f t="shared" si="2"/>
        <v>----</v>
      </c>
      <c r="I8" s="486"/>
      <c r="J8" s="83" t="str">
        <f t="shared" si="3"/>
        <v>----</v>
      </c>
    </row>
    <row r="9" spans="1:10">
      <c r="A9" s="102">
        <v>45398</v>
      </c>
      <c r="B9" s="450" t="s">
        <v>739</v>
      </c>
      <c r="C9" s="370">
        <v>801043.5</v>
      </c>
      <c r="D9" s="559">
        <f t="shared" si="0"/>
        <v>801043.5</v>
      </c>
      <c r="E9" s="473"/>
      <c r="F9" s="472" t="str">
        <f t="shared" si="1"/>
        <v>----</v>
      </c>
      <c r="G9" s="473"/>
      <c r="H9" s="472" t="str">
        <f t="shared" si="2"/>
        <v>----</v>
      </c>
      <c r="I9" s="486"/>
      <c r="J9" s="83" t="str">
        <f t="shared" si="3"/>
        <v>----</v>
      </c>
    </row>
    <row r="10" spans="1:10">
      <c r="A10" s="102"/>
      <c r="B10" s="103"/>
      <c r="C10" s="87"/>
      <c r="D10" s="466"/>
      <c r="E10" s="473"/>
      <c r="F10" s="472" t="str">
        <f t="shared" si="1"/>
        <v>----</v>
      </c>
      <c r="G10" s="473"/>
      <c r="H10" s="472" t="str">
        <f t="shared" si="2"/>
        <v>----</v>
      </c>
      <c r="I10" s="486"/>
      <c r="J10" s="83" t="str">
        <f t="shared" si="3"/>
        <v>----</v>
      </c>
    </row>
    <row r="11" spans="1:10">
      <c r="A11" s="102"/>
      <c r="B11" s="103"/>
      <c r="C11" s="87"/>
      <c r="D11" s="466"/>
      <c r="E11" s="473"/>
      <c r="F11" s="472" t="str">
        <f t="shared" si="1"/>
        <v>----</v>
      </c>
      <c r="G11" s="473"/>
      <c r="H11" s="472" t="str">
        <f t="shared" si="2"/>
        <v>----</v>
      </c>
      <c r="I11" s="486"/>
      <c r="J11" s="83" t="str">
        <f t="shared" si="3"/>
        <v>----</v>
      </c>
    </row>
    <row r="12" spans="1:10">
      <c r="A12" s="102"/>
      <c r="B12" s="103"/>
      <c r="C12" s="87"/>
      <c r="D12" s="466"/>
      <c r="E12" s="473"/>
      <c r="F12" s="472" t="str">
        <f t="shared" si="1"/>
        <v>----</v>
      </c>
      <c r="G12" s="473"/>
      <c r="H12" s="472" t="str">
        <f t="shared" si="2"/>
        <v>----</v>
      </c>
      <c r="I12" s="486"/>
      <c r="J12" s="83" t="str">
        <f t="shared" si="3"/>
        <v>----</v>
      </c>
    </row>
    <row r="13" spans="1:10">
      <c r="A13" s="102"/>
      <c r="B13" s="103"/>
      <c r="C13" s="87"/>
      <c r="D13" s="466"/>
      <c r="E13" s="473"/>
      <c r="F13" s="472" t="str">
        <f t="shared" si="1"/>
        <v>----</v>
      </c>
      <c r="G13" s="473"/>
      <c r="H13" s="472" t="str">
        <f t="shared" si="2"/>
        <v>----</v>
      </c>
      <c r="I13" s="486"/>
      <c r="J13" s="83" t="str">
        <f t="shared" si="3"/>
        <v>----</v>
      </c>
    </row>
    <row r="14" spans="1:10">
      <c r="A14" s="102"/>
      <c r="B14" s="103"/>
      <c r="C14" s="87"/>
      <c r="D14" s="466"/>
      <c r="E14" s="473"/>
      <c r="F14" s="472" t="str">
        <f t="shared" si="1"/>
        <v>----</v>
      </c>
      <c r="G14" s="473"/>
      <c r="H14" s="472" t="str">
        <f t="shared" si="2"/>
        <v>----</v>
      </c>
      <c r="I14" s="486"/>
      <c r="J14" s="83" t="str">
        <f t="shared" si="3"/>
        <v>----</v>
      </c>
    </row>
    <row r="15" spans="1:10">
      <c r="A15" s="102"/>
      <c r="B15" s="103"/>
      <c r="C15" s="87"/>
      <c r="D15" s="466"/>
      <c r="E15" s="473"/>
      <c r="F15" s="472" t="str">
        <f t="shared" si="1"/>
        <v>----</v>
      </c>
      <c r="G15" s="473"/>
      <c r="H15" s="472" t="str">
        <f t="shared" si="2"/>
        <v>----</v>
      </c>
      <c r="I15" s="486"/>
      <c r="J15" s="83" t="str">
        <f t="shared" si="3"/>
        <v>----</v>
      </c>
    </row>
    <row r="16" spans="1:10">
      <c r="A16" s="102"/>
      <c r="B16" s="103"/>
      <c r="C16" s="87"/>
      <c r="D16" s="466"/>
      <c r="E16" s="473"/>
      <c r="F16" s="472" t="str">
        <f t="shared" si="1"/>
        <v>----</v>
      </c>
      <c r="G16" s="473"/>
      <c r="H16" s="472" t="str">
        <f t="shared" si="2"/>
        <v>----</v>
      </c>
      <c r="I16" s="486"/>
      <c r="J16" s="83" t="str">
        <f t="shared" si="3"/>
        <v>----</v>
      </c>
    </row>
    <row r="17" spans="1:10">
      <c r="A17" s="102"/>
      <c r="B17" s="103"/>
      <c r="C17" s="87"/>
      <c r="D17" s="466"/>
      <c r="E17" s="473"/>
      <c r="F17" s="472" t="str">
        <f t="shared" si="1"/>
        <v>----</v>
      </c>
      <c r="G17" s="473"/>
      <c r="H17" s="472" t="str">
        <f t="shared" si="2"/>
        <v>----</v>
      </c>
      <c r="I17" s="486"/>
      <c r="J17" s="83" t="str">
        <f t="shared" si="3"/>
        <v>----</v>
      </c>
    </row>
    <row r="18" spans="1:10">
      <c r="A18" s="102"/>
      <c r="B18" s="103"/>
      <c r="C18" s="87"/>
      <c r="D18" s="466"/>
      <c r="E18" s="473"/>
      <c r="F18" s="472" t="str">
        <f t="shared" si="1"/>
        <v>----</v>
      </c>
      <c r="G18" s="473"/>
      <c r="H18" s="472" t="str">
        <f t="shared" si="2"/>
        <v>----</v>
      </c>
      <c r="I18" s="486"/>
      <c r="J18" s="83" t="str">
        <f t="shared" si="3"/>
        <v>----</v>
      </c>
    </row>
    <row r="19" spans="1:10">
      <c r="A19" s="102"/>
      <c r="B19" s="103"/>
      <c r="C19" s="87"/>
      <c r="D19" s="466"/>
      <c r="E19" s="473"/>
      <c r="F19" s="472" t="str">
        <f t="shared" si="1"/>
        <v>----</v>
      </c>
      <c r="G19" s="473"/>
      <c r="H19" s="472" t="str">
        <f t="shared" si="2"/>
        <v>----</v>
      </c>
      <c r="I19" s="486"/>
      <c r="J19" s="83" t="str">
        <f t="shared" si="3"/>
        <v>----</v>
      </c>
    </row>
    <row r="20" spans="1:10">
      <c r="A20" s="102"/>
      <c r="B20" s="103"/>
      <c r="C20" s="87"/>
      <c r="D20" s="466"/>
      <c r="E20" s="473"/>
      <c r="F20" s="472" t="str">
        <f t="shared" si="1"/>
        <v>----</v>
      </c>
      <c r="G20" s="473"/>
      <c r="H20" s="472" t="str">
        <f t="shared" si="2"/>
        <v>----</v>
      </c>
      <c r="I20" s="486"/>
      <c r="J20" s="83" t="str">
        <f t="shared" si="3"/>
        <v>----</v>
      </c>
    </row>
    <row r="21" spans="1:10">
      <c r="A21" s="116"/>
      <c r="B21" s="117"/>
      <c r="C21" s="118"/>
      <c r="D21" s="467"/>
      <c r="E21" s="474"/>
      <c r="F21" s="472" t="str">
        <f t="shared" si="1"/>
        <v>----</v>
      </c>
      <c r="G21" s="474"/>
      <c r="H21" s="472" t="str">
        <f t="shared" si="2"/>
        <v>----</v>
      </c>
      <c r="I21" s="488"/>
      <c r="J21" s="83" t="str">
        <f t="shared" si="3"/>
        <v>----</v>
      </c>
    </row>
    <row r="22" spans="1:10" ht="15.75" thickBot="1">
      <c r="A22" s="74"/>
      <c r="B22" s="75"/>
      <c r="C22" s="76"/>
      <c r="D22" s="430"/>
      <c r="E22" s="475"/>
      <c r="F22" s="476" t="str">
        <f t="shared" si="1"/>
        <v>----</v>
      </c>
      <c r="G22" s="475"/>
      <c r="H22" s="476" t="str">
        <f t="shared" si="2"/>
        <v>----</v>
      </c>
      <c r="I22" s="481"/>
      <c r="J22" s="77" t="str">
        <f t="shared" si="3"/>
        <v>----</v>
      </c>
    </row>
    <row r="23" spans="1:10" ht="15.75" thickBot="1">
      <c r="A23" s="27"/>
      <c r="B23" s="27"/>
      <c r="C23" s="28"/>
      <c r="D23" s="28"/>
      <c r="E23" s="439"/>
      <c r="F23" s="441">
        <f>SUM(F4:F22)</f>
        <v>3944.8699999999953</v>
      </c>
      <c r="G23" s="439"/>
      <c r="H23" s="441">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9B8C3-166C-4894-958B-E6E6C3B8137D}">
  <dimension ref="A1:K24"/>
  <sheetViews>
    <sheetView workbookViewId="0">
      <selection activeCell="G15" sqref="G15"/>
    </sheetView>
  </sheetViews>
  <sheetFormatPr defaultRowHeight="15"/>
  <cols>
    <col min="2" max="2" width="22.7109375" bestFit="1" customWidth="1"/>
    <col min="3" max="3" width="12" bestFit="1" customWidth="1"/>
    <col min="4" max="4" width="12" customWidth="1"/>
    <col min="5" max="5" width="10.7109375" style="432" customWidth="1"/>
    <col min="6" max="6" width="14.140625" style="432" customWidth="1"/>
    <col min="7" max="7" width="10.7109375" style="432" customWidth="1"/>
    <col min="8" max="8" width="14.140625" style="432" customWidth="1"/>
    <col min="9" max="9" width="10.7109375" customWidth="1"/>
    <col min="10" max="10" width="14.140625" customWidth="1"/>
  </cols>
  <sheetData>
    <row r="1" spans="1:11" ht="15.75" thickBot="1">
      <c r="A1" s="952" t="s">
        <v>184</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46.5" thickBot="1">
      <c r="A3" s="960"/>
      <c r="B3" s="962"/>
      <c r="C3" s="962"/>
      <c r="D3" s="974"/>
      <c r="E3" s="460" t="s">
        <v>121</v>
      </c>
      <c r="F3" s="468" t="s">
        <v>113</v>
      </c>
      <c r="G3" s="460" t="s">
        <v>121</v>
      </c>
      <c r="H3" s="468" t="s">
        <v>113</v>
      </c>
      <c r="I3" s="478" t="s">
        <v>121</v>
      </c>
      <c r="J3" s="25" t="s">
        <v>113</v>
      </c>
    </row>
    <row r="4" spans="1:11">
      <c r="A4" s="70">
        <v>43852</v>
      </c>
      <c r="B4" s="71" t="s">
        <v>197</v>
      </c>
      <c r="C4" s="781">
        <v>327863.76</v>
      </c>
      <c r="D4" s="787">
        <f>C4</f>
        <v>327863.76</v>
      </c>
      <c r="E4" s="794">
        <v>317591.09999999998</v>
      </c>
      <c r="F4" s="803">
        <f t="shared" ref="F4:F23" si="0">IF(ISBLANK(E4),"----",E4-D4)</f>
        <v>-10272.660000000033</v>
      </c>
      <c r="G4" s="794" t="s">
        <v>703</v>
      </c>
      <c r="H4" s="803" t="str">
        <f t="shared" ref="H4:H23" si="1">IF(OR(G4="Complete",ISBLANK(G4)),"----",G4-$D4)</f>
        <v>----</v>
      </c>
      <c r="I4" s="791" t="s">
        <v>703</v>
      </c>
      <c r="J4" s="804" t="str">
        <f t="shared" ref="J4:J23" si="2">IF(OR(I4="Complete",ISBLANK(I4)),"----",I4-$D4)</f>
        <v>----</v>
      </c>
    </row>
    <row r="5" spans="1:11">
      <c r="A5" s="91">
        <v>43942</v>
      </c>
      <c r="B5" s="92" t="s">
        <v>242</v>
      </c>
      <c r="C5" s="782">
        <v>276859.71999999997</v>
      </c>
      <c r="D5" s="797">
        <v>72034.720000000001</v>
      </c>
      <c r="E5" s="799">
        <v>69979.679999999993</v>
      </c>
      <c r="F5" s="858">
        <f t="shared" si="0"/>
        <v>-2055.0400000000081</v>
      </c>
      <c r="G5" s="799" t="s">
        <v>703</v>
      </c>
      <c r="H5" s="858" t="str">
        <f t="shared" si="1"/>
        <v>----</v>
      </c>
      <c r="I5" s="798" t="s">
        <v>703</v>
      </c>
      <c r="J5" s="859" t="str">
        <f t="shared" si="2"/>
        <v>----</v>
      </c>
    </row>
    <row r="6" spans="1:11">
      <c r="A6" s="102">
        <v>44216</v>
      </c>
      <c r="B6" s="103" t="s">
        <v>378</v>
      </c>
      <c r="C6" s="770">
        <v>362056.95</v>
      </c>
      <c r="D6" s="729">
        <f>C6</f>
        <v>362056.95</v>
      </c>
      <c r="E6" s="739">
        <v>364598.14</v>
      </c>
      <c r="F6" s="858">
        <f t="shared" si="0"/>
        <v>2541.1900000000023</v>
      </c>
      <c r="G6" s="739" t="s">
        <v>703</v>
      </c>
      <c r="H6" s="858" t="str">
        <f t="shared" si="1"/>
        <v>----</v>
      </c>
      <c r="I6" s="734" t="s">
        <v>703</v>
      </c>
      <c r="J6" s="859" t="str">
        <f t="shared" si="2"/>
        <v>----</v>
      </c>
    </row>
    <row r="7" spans="1:11">
      <c r="A7" s="102">
        <v>44551</v>
      </c>
      <c r="B7" s="256" t="s">
        <v>483</v>
      </c>
      <c r="C7" s="770">
        <v>407823.62</v>
      </c>
      <c r="D7" s="729">
        <f>C7</f>
        <v>407823.62</v>
      </c>
      <c r="E7" s="739">
        <v>402076.73</v>
      </c>
      <c r="F7" s="858">
        <f t="shared" si="0"/>
        <v>-5746.890000000014</v>
      </c>
      <c r="G7" s="739" t="s">
        <v>703</v>
      </c>
      <c r="H7" s="858" t="str">
        <f t="shared" si="1"/>
        <v>----</v>
      </c>
      <c r="I7" s="734" t="s">
        <v>703</v>
      </c>
      <c r="J7" s="859" t="str">
        <f t="shared" si="2"/>
        <v>----</v>
      </c>
    </row>
    <row r="8" spans="1:11">
      <c r="A8" s="102">
        <v>44607</v>
      </c>
      <c r="B8" s="256" t="s">
        <v>626</v>
      </c>
      <c r="C8" s="770">
        <v>1366530.48</v>
      </c>
      <c r="D8" s="729">
        <v>279268.59999999998</v>
      </c>
      <c r="E8" s="739"/>
      <c r="F8" s="858" t="str">
        <f t="shared" si="0"/>
        <v>----</v>
      </c>
      <c r="G8" s="739"/>
      <c r="H8" s="858" t="str">
        <f t="shared" si="1"/>
        <v>----</v>
      </c>
      <c r="I8" s="734"/>
      <c r="J8" s="859" t="str">
        <f t="shared" si="2"/>
        <v>----</v>
      </c>
      <c r="K8" t="s">
        <v>627</v>
      </c>
    </row>
    <row r="9" spans="1:11">
      <c r="A9" s="102">
        <v>44915</v>
      </c>
      <c r="B9" s="103" t="s">
        <v>615</v>
      </c>
      <c r="C9" s="770">
        <v>510316.15</v>
      </c>
      <c r="D9" s="729">
        <f>C9</f>
        <v>510316.15</v>
      </c>
      <c r="E9" s="739"/>
      <c r="F9" s="858" t="str">
        <f t="shared" si="0"/>
        <v>----</v>
      </c>
      <c r="G9" s="739">
        <v>511678.65</v>
      </c>
      <c r="H9" s="858">
        <f t="shared" si="1"/>
        <v>1362.5</v>
      </c>
      <c r="I9" s="734"/>
      <c r="J9" s="859" t="str">
        <f t="shared" si="2"/>
        <v>----</v>
      </c>
    </row>
    <row r="10" spans="1:11">
      <c r="A10" s="102">
        <v>45370</v>
      </c>
      <c r="B10" s="103" t="s">
        <v>733</v>
      </c>
      <c r="C10" s="770">
        <v>659050.01</v>
      </c>
      <c r="D10" s="729">
        <f>C10</f>
        <v>659050.01</v>
      </c>
      <c r="E10" s="739"/>
      <c r="F10" s="858" t="str">
        <f t="shared" si="0"/>
        <v>----</v>
      </c>
      <c r="G10" s="739"/>
      <c r="H10" s="858" t="str">
        <f t="shared" si="1"/>
        <v>----</v>
      </c>
      <c r="I10" s="734"/>
      <c r="J10" s="859" t="str">
        <f t="shared" si="2"/>
        <v>----</v>
      </c>
    </row>
    <row r="11" spans="1:11">
      <c r="A11" s="102">
        <v>45797</v>
      </c>
      <c r="B11" s="721" t="s">
        <v>873</v>
      </c>
      <c r="C11" s="770">
        <v>838711.73</v>
      </c>
      <c r="D11" s="729">
        <f>C11</f>
        <v>838711.73</v>
      </c>
      <c r="E11" s="739"/>
      <c r="F11" s="858" t="str">
        <f t="shared" si="0"/>
        <v>----</v>
      </c>
      <c r="G11" s="739"/>
      <c r="H11" s="858" t="str">
        <f t="shared" si="1"/>
        <v>----</v>
      </c>
      <c r="I11" s="734"/>
      <c r="J11" s="859" t="str">
        <f t="shared" si="2"/>
        <v>----</v>
      </c>
    </row>
    <row r="12" spans="1:11">
      <c r="A12" s="102"/>
      <c r="B12" s="103"/>
      <c r="C12" s="770"/>
      <c r="D12" s="729"/>
      <c r="E12" s="739"/>
      <c r="F12" s="858" t="str">
        <f t="shared" si="0"/>
        <v>----</v>
      </c>
      <c r="G12" s="739"/>
      <c r="H12" s="858" t="str">
        <f t="shared" si="1"/>
        <v>----</v>
      </c>
      <c r="I12" s="734"/>
      <c r="J12" s="859" t="str">
        <f t="shared" si="2"/>
        <v>----</v>
      </c>
    </row>
    <row r="13" spans="1:11">
      <c r="A13" s="102"/>
      <c r="B13" s="103"/>
      <c r="C13" s="770"/>
      <c r="D13" s="729"/>
      <c r="E13" s="739"/>
      <c r="F13" s="858" t="str">
        <f t="shared" si="0"/>
        <v>----</v>
      </c>
      <c r="G13" s="739"/>
      <c r="H13" s="858" t="str">
        <f t="shared" si="1"/>
        <v>----</v>
      </c>
      <c r="I13" s="734"/>
      <c r="J13" s="859" t="str">
        <f t="shared" si="2"/>
        <v>----</v>
      </c>
    </row>
    <row r="14" spans="1:11">
      <c r="A14" s="102"/>
      <c r="B14" s="103"/>
      <c r="C14" s="770"/>
      <c r="D14" s="729"/>
      <c r="E14" s="739"/>
      <c r="F14" s="858" t="str">
        <f t="shared" si="0"/>
        <v>----</v>
      </c>
      <c r="G14" s="739"/>
      <c r="H14" s="858" t="str">
        <f t="shared" si="1"/>
        <v>----</v>
      </c>
      <c r="I14" s="734"/>
      <c r="J14" s="859" t="str">
        <f t="shared" si="2"/>
        <v>----</v>
      </c>
    </row>
    <row r="15" spans="1:11">
      <c r="A15" s="102"/>
      <c r="B15" s="103"/>
      <c r="C15" s="770"/>
      <c r="D15" s="729"/>
      <c r="E15" s="739"/>
      <c r="F15" s="858" t="str">
        <f t="shared" si="0"/>
        <v>----</v>
      </c>
      <c r="G15" s="739"/>
      <c r="H15" s="858" t="str">
        <f t="shared" si="1"/>
        <v>----</v>
      </c>
      <c r="I15" s="734"/>
      <c r="J15" s="859" t="str">
        <f t="shared" si="2"/>
        <v>----</v>
      </c>
    </row>
    <row r="16" spans="1:11">
      <c r="A16" s="102"/>
      <c r="B16" s="103"/>
      <c r="C16" s="770"/>
      <c r="D16" s="729"/>
      <c r="E16" s="739"/>
      <c r="F16" s="858" t="str">
        <f t="shared" si="0"/>
        <v>----</v>
      </c>
      <c r="G16" s="739"/>
      <c r="H16" s="858" t="str">
        <f t="shared" si="1"/>
        <v>----</v>
      </c>
      <c r="I16" s="734"/>
      <c r="J16" s="859" t="str">
        <f t="shared" si="2"/>
        <v>----</v>
      </c>
    </row>
    <row r="17" spans="1:10">
      <c r="A17" s="102"/>
      <c r="B17" s="103"/>
      <c r="C17" s="770"/>
      <c r="D17" s="729"/>
      <c r="E17" s="739"/>
      <c r="F17" s="858" t="str">
        <f t="shared" si="0"/>
        <v>----</v>
      </c>
      <c r="G17" s="739"/>
      <c r="H17" s="858" t="str">
        <f t="shared" si="1"/>
        <v>----</v>
      </c>
      <c r="I17" s="734"/>
      <c r="J17" s="859" t="str">
        <f t="shared" si="2"/>
        <v>----</v>
      </c>
    </row>
    <row r="18" spans="1:10">
      <c r="A18" s="102"/>
      <c r="B18" s="103"/>
      <c r="C18" s="770"/>
      <c r="D18" s="729"/>
      <c r="E18" s="739"/>
      <c r="F18" s="858" t="str">
        <f t="shared" si="0"/>
        <v>----</v>
      </c>
      <c r="G18" s="739"/>
      <c r="H18" s="858" t="str">
        <f t="shared" si="1"/>
        <v>----</v>
      </c>
      <c r="I18" s="734"/>
      <c r="J18" s="859" t="str">
        <f t="shared" si="2"/>
        <v>----</v>
      </c>
    </row>
    <row r="19" spans="1:10">
      <c r="A19" s="102"/>
      <c r="B19" s="103"/>
      <c r="C19" s="770"/>
      <c r="D19" s="729"/>
      <c r="E19" s="739"/>
      <c r="F19" s="858" t="str">
        <f t="shared" si="0"/>
        <v>----</v>
      </c>
      <c r="G19" s="739"/>
      <c r="H19" s="858" t="str">
        <f t="shared" si="1"/>
        <v>----</v>
      </c>
      <c r="I19" s="734"/>
      <c r="J19" s="859" t="str">
        <f t="shared" si="2"/>
        <v>----</v>
      </c>
    </row>
    <row r="20" spans="1:10">
      <c r="A20" s="102"/>
      <c r="B20" s="103"/>
      <c r="C20" s="770"/>
      <c r="D20" s="729"/>
      <c r="E20" s="739"/>
      <c r="F20" s="858" t="str">
        <f t="shared" si="0"/>
        <v>----</v>
      </c>
      <c r="G20" s="739"/>
      <c r="H20" s="858" t="str">
        <f t="shared" si="1"/>
        <v>----</v>
      </c>
      <c r="I20" s="734"/>
      <c r="J20" s="859" t="str">
        <f t="shared" si="2"/>
        <v>----</v>
      </c>
    </row>
    <row r="21" spans="1:10">
      <c r="A21" s="102"/>
      <c r="B21" s="103"/>
      <c r="C21" s="770"/>
      <c r="D21" s="729"/>
      <c r="E21" s="739"/>
      <c r="F21" s="858" t="str">
        <f t="shared" si="0"/>
        <v>----</v>
      </c>
      <c r="G21" s="739"/>
      <c r="H21" s="858" t="str">
        <f t="shared" si="1"/>
        <v>----</v>
      </c>
      <c r="I21" s="734"/>
      <c r="J21" s="859" t="str">
        <f t="shared" si="2"/>
        <v>----</v>
      </c>
    </row>
    <row r="22" spans="1:10">
      <c r="A22" s="116"/>
      <c r="B22" s="117"/>
      <c r="C22" s="773"/>
      <c r="D22" s="789"/>
      <c r="E22" s="740"/>
      <c r="F22" s="858" t="str">
        <f t="shared" si="0"/>
        <v>----</v>
      </c>
      <c r="G22" s="740"/>
      <c r="H22" s="858" t="str">
        <f t="shared" si="1"/>
        <v>----</v>
      </c>
      <c r="I22" s="735"/>
      <c r="J22" s="859" t="str">
        <f t="shared" si="2"/>
        <v>----</v>
      </c>
    </row>
    <row r="23" spans="1:10" ht="15.75" thickBot="1">
      <c r="A23" s="74"/>
      <c r="B23" s="75"/>
      <c r="C23" s="783"/>
      <c r="D23" s="790"/>
      <c r="E23" s="796"/>
      <c r="F23" s="801" t="str">
        <f t="shared" si="0"/>
        <v>----</v>
      </c>
      <c r="G23" s="796"/>
      <c r="H23" s="801" t="str">
        <f t="shared" si="1"/>
        <v>----</v>
      </c>
      <c r="I23" s="793"/>
      <c r="J23" s="802" t="str">
        <f t="shared" si="2"/>
        <v>----</v>
      </c>
    </row>
    <row r="24" spans="1:10" ht="15.75" thickBot="1">
      <c r="A24" s="27"/>
      <c r="B24" s="27"/>
      <c r="C24" s="28"/>
      <c r="D24" s="28"/>
      <c r="E24" s="439"/>
      <c r="F24" s="441">
        <f>SUM(F4:F23)</f>
        <v>-15533.400000000052</v>
      </c>
      <c r="G24" s="439"/>
      <c r="H24" s="441">
        <f>SUM(H4:H23)</f>
        <v>1362.5</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EB71F-7B15-49EF-B7AC-E01F8C01CB43}">
  <dimension ref="A1:J24"/>
  <sheetViews>
    <sheetView workbookViewId="0">
      <selection activeCell="D12" sqref="D12"/>
    </sheetView>
  </sheetViews>
  <sheetFormatPr defaultRowHeight="15"/>
  <cols>
    <col min="2" max="2" width="22.42578125" bestFit="1" customWidth="1"/>
    <col min="3" max="4" width="12" bestFit="1" customWidth="1"/>
    <col min="5" max="5" width="12" style="432" bestFit="1" customWidth="1"/>
    <col min="6" max="6" width="9.85546875" style="432" bestFit="1" customWidth="1"/>
    <col min="7" max="7" width="12" style="432" bestFit="1" customWidth="1"/>
    <col min="8" max="8" width="9.85546875" style="432" bestFit="1" customWidth="1"/>
    <col min="9" max="9" width="12" bestFit="1" customWidth="1"/>
    <col min="10" max="10" width="11.28515625" customWidth="1"/>
  </cols>
  <sheetData>
    <row r="1" spans="1:10" ht="15.75" thickBot="1">
      <c r="A1" s="952" t="s">
        <v>266</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57.75" thickBot="1">
      <c r="A3" s="960"/>
      <c r="B3" s="962"/>
      <c r="C3" s="962"/>
      <c r="D3" s="974"/>
      <c r="E3" s="460" t="s">
        <v>121</v>
      </c>
      <c r="F3" s="468" t="s">
        <v>113</v>
      </c>
      <c r="G3" s="460" t="s">
        <v>121</v>
      </c>
      <c r="H3" s="468" t="s">
        <v>113</v>
      </c>
      <c r="I3" s="478" t="s">
        <v>121</v>
      </c>
      <c r="J3" s="25" t="s">
        <v>113</v>
      </c>
    </row>
    <row r="4" spans="1:10">
      <c r="A4" s="70">
        <v>43998</v>
      </c>
      <c r="B4" s="71" t="s">
        <v>294</v>
      </c>
      <c r="C4" s="781">
        <v>1544905.43</v>
      </c>
      <c r="D4" s="787">
        <f>C4</f>
        <v>1544905.43</v>
      </c>
      <c r="E4" s="794">
        <v>1591872.42</v>
      </c>
      <c r="F4" s="803">
        <f t="shared" ref="F4:F23" si="0">IF(ISBLANK(E4),"----",E4-D4)</f>
        <v>46966.989999999991</v>
      </c>
      <c r="G4" s="794" t="s">
        <v>703</v>
      </c>
      <c r="H4" s="803" t="str">
        <f t="shared" ref="H4:H23" si="1">IF(OR(G4="Complete",ISBLANK(G4)),"----",G4-$D4)</f>
        <v>----</v>
      </c>
      <c r="I4" s="791" t="s">
        <v>703</v>
      </c>
      <c r="J4" s="804" t="str">
        <f t="shared" ref="J4:J23" si="2">IF(OR(I4="Complete",ISBLANK(I4)),"----",I4-$D4)</f>
        <v>----</v>
      </c>
    </row>
    <row r="5" spans="1:10">
      <c r="A5" s="982">
        <v>44460</v>
      </c>
      <c r="B5" s="101" t="s">
        <v>454</v>
      </c>
      <c r="C5" s="784">
        <v>1074811.21</v>
      </c>
      <c r="D5" s="788">
        <v>829021.21</v>
      </c>
      <c r="E5" s="795">
        <v>828573</v>
      </c>
      <c r="F5" s="807">
        <f t="shared" si="0"/>
        <v>-448.20999999996275</v>
      </c>
      <c r="G5" s="795" t="s">
        <v>703</v>
      </c>
      <c r="H5" s="807" t="str">
        <f t="shared" si="1"/>
        <v>----</v>
      </c>
      <c r="I5" s="792" t="s">
        <v>703</v>
      </c>
      <c r="J5" s="808" t="str">
        <f t="shared" si="2"/>
        <v>----</v>
      </c>
    </row>
    <row r="6" spans="1:10">
      <c r="A6" s="983"/>
      <c r="B6" s="92" t="s">
        <v>455</v>
      </c>
      <c r="C6" s="782">
        <v>1401033.03</v>
      </c>
      <c r="D6" s="797">
        <v>991383.03</v>
      </c>
      <c r="E6" s="799">
        <v>983685.24</v>
      </c>
      <c r="F6" s="662">
        <f t="shared" si="0"/>
        <v>-7697.7900000000373</v>
      </c>
      <c r="G6" s="799" t="s">
        <v>703</v>
      </c>
      <c r="H6" s="662" t="str">
        <f t="shared" si="1"/>
        <v>----</v>
      </c>
      <c r="I6" s="798" t="s">
        <v>703</v>
      </c>
      <c r="J6" s="663" t="str">
        <f t="shared" si="2"/>
        <v>----</v>
      </c>
    </row>
    <row r="7" spans="1:10">
      <c r="A7" s="223">
        <v>44944</v>
      </c>
      <c r="B7" s="117" t="s">
        <v>630</v>
      </c>
      <c r="C7" s="773">
        <v>1076454.8899999999</v>
      </c>
      <c r="D7" s="789">
        <f>C7</f>
        <v>1076454.8899999999</v>
      </c>
      <c r="E7" s="740"/>
      <c r="F7" s="774" t="str">
        <f t="shared" si="0"/>
        <v>----</v>
      </c>
      <c r="G7" s="740"/>
      <c r="H7" s="774" t="str">
        <f t="shared" si="1"/>
        <v>----</v>
      </c>
      <c r="I7" s="735">
        <v>1240673.22</v>
      </c>
      <c r="J7" s="775">
        <f t="shared" si="2"/>
        <v>164218.33000000007</v>
      </c>
    </row>
    <row r="8" spans="1:10">
      <c r="A8" s="223">
        <v>45279</v>
      </c>
      <c r="B8" s="117" t="s">
        <v>692</v>
      </c>
      <c r="C8" s="773">
        <v>1538699.68</v>
      </c>
      <c r="D8" s="789">
        <f>C8</f>
        <v>1538699.68</v>
      </c>
      <c r="E8" s="740"/>
      <c r="F8" s="774" t="str">
        <f t="shared" si="0"/>
        <v>----</v>
      </c>
      <c r="G8" s="740"/>
      <c r="H8" s="774" t="str">
        <f t="shared" si="1"/>
        <v>----</v>
      </c>
      <c r="I8" s="735"/>
      <c r="J8" s="775" t="str">
        <f t="shared" si="2"/>
        <v>----</v>
      </c>
    </row>
    <row r="9" spans="1:10">
      <c r="A9" s="223">
        <v>45679</v>
      </c>
      <c r="B9" s="453" t="s">
        <v>813</v>
      </c>
      <c r="C9" s="773">
        <v>2233387.4700000002</v>
      </c>
      <c r="D9" s="789">
        <f>C9</f>
        <v>2233387.4700000002</v>
      </c>
      <c r="E9" s="740"/>
      <c r="F9" s="774" t="str">
        <f t="shared" si="0"/>
        <v>----</v>
      </c>
      <c r="G9" s="740"/>
      <c r="H9" s="774" t="str">
        <f t="shared" si="1"/>
        <v>----</v>
      </c>
      <c r="I9" s="735"/>
      <c r="J9" s="775" t="str">
        <f t="shared" si="2"/>
        <v>----</v>
      </c>
    </row>
    <row r="10" spans="1:10">
      <c r="A10" s="223">
        <v>45706</v>
      </c>
      <c r="B10" s="453" t="s">
        <v>838</v>
      </c>
      <c r="C10" s="773">
        <v>1723742.19</v>
      </c>
      <c r="D10" s="789">
        <f>C10</f>
        <v>1723742.19</v>
      </c>
      <c r="E10" s="740"/>
      <c r="F10" s="774" t="str">
        <f t="shared" si="0"/>
        <v>----</v>
      </c>
      <c r="G10" s="740"/>
      <c r="H10" s="774" t="str">
        <f t="shared" si="1"/>
        <v>----</v>
      </c>
      <c r="I10" s="735"/>
      <c r="J10" s="775" t="str">
        <f t="shared" si="2"/>
        <v>----</v>
      </c>
    </row>
    <row r="11" spans="1:10">
      <c r="A11" s="223">
        <v>45706</v>
      </c>
      <c r="B11" s="453" t="s">
        <v>839</v>
      </c>
      <c r="C11" s="773">
        <v>806718.4</v>
      </c>
      <c r="D11" s="789">
        <f>C11</f>
        <v>806718.4</v>
      </c>
      <c r="E11" s="740"/>
      <c r="F11" s="774" t="str">
        <f t="shared" si="0"/>
        <v>----</v>
      </c>
      <c r="G11" s="740"/>
      <c r="H11" s="774" t="str">
        <f t="shared" si="1"/>
        <v>----</v>
      </c>
      <c r="I11" s="735"/>
      <c r="J11" s="775" t="str">
        <f t="shared" si="2"/>
        <v>----</v>
      </c>
    </row>
    <row r="12" spans="1:10">
      <c r="A12" s="223"/>
      <c r="B12" s="117"/>
      <c r="C12" s="773"/>
      <c r="D12" s="789"/>
      <c r="E12" s="740"/>
      <c r="F12" s="774" t="str">
        <f t="shared" si="0"/>
        <v>----</v>
      </c>
      <c r="G12" s="740"/>
      <c r="H12" s="774" t="str">
        <f t="shared" si="1"/>
        <v>----</v>
      </c>
      <c r="I12" s="735"/>
      <c r="J12" s="775" t="str">
        <f t="shared" si="2"/>
        <v>----</v>
      </c>
    </row>
    <row r="13" spans="1:10">
      <c r="A13" s="223"/>
      <c r="B13" s="117"/>
      <c r="C13" s="773"/>
      <c r="D13" s="789"/>
      <c r="E13" s="740"/>
      <c r="F13" s="774" t="str">
        <f t="shared" si="0"/>
        <v>----</v>
      </c>
      <c r="G13" s="740"/>
      <c r="H13" s="774" t="str">
        <f t="shared" si="1"/>
        <v>----</v>
      </c>
      <c r="I13" s="735"/>
      <c r="J13" s="775" t="str">
        <f t="shared" si="2"/>
        <v>----</v>
      </c>
    </row>
    <row r="14" spans="1:10">
      <c r="A14" s="223"/>
      <c r="B14" s="117"/>
      <c r="C14" s="773"/>
      <c r="D14" s="789"/>
      <c r="E14" s="740"/>
      <c r="F14" s="774" t="str">
        <f t="shared" si="0"/>
        <v>----</v>
      </c>
      <c r="G14" s="740"/>
      <c r="H14" s="774" t="str">
        <f t="shared" si="1"/>
        <v>----</v>
      </c>
      <c r="I14" s="735"/>
      <c r="J14" s="775" t="str">
        <f t="shared" si="2"/>
        <v>----</v>
      </c>
    </row>
    <row r="15" spans="1:10">
      <c r="A15" s="223"/>
      <c r="B15" s="117"/>
      <c r="C15" s="773"/>
      <c r="D15" s="789"/>
      <c r="E15" s="740"/>
      <c r="F15" s="774" t="str">
        <f t="shared" si="0"/>
        <v>----</v>
      </c>
      <c r="G15" s="740"/>
      <c r="H15" s="774" t="str">
        <f t="shared" si="1"/>
        <v>----</v>
      </c>
      <c r="I15" s="735"/>
      <c r="J15" s="775" t="str">
        <f t="shared" si="2"/>
        <v>----</v>
      </c>
    </row>
    <row r="16" spans="1:10">
      <c r="A16" s="223"/>
      <c r="B16" s="117"/>
      <c r="C16" s="773"/>
      <c r="D16" s="789"/>
      <c r="E16" s="740"/>
      <c r="F16" s="774" t="str">
        <f t="shared" si="0"/>
        <v>----</v>
      </c>
      <c r="G16" s="740"/>
      <c r="H16" s="774" t="str">
        <f t="shared" si="1"/>
        <v>----</v>
      </c>
      <c r="I16" s="735"/>
      <c r="J16" s="775" t="str">
        <f t="shared" si="2"/>
        <v>----</v>
      </c>
    </row>
    <row r="17" spans="1:10">
      <c r="A17" s="223"/>
      <c r="B17" s="117"/>
      <c r="C17" s="773"/>
      <c r="D17" s="789"/>
      <c r="E17" s="740"/>
      <c r="F17" s="774" t="str">
        <f t="shared" si="0"/>
        <v>----</v>
      </c>
      <c r="G17" s="740"/>
      <c r="H17" s="774" t="str">
        <f t="shared" si="1"/>
        <v>----</v>
      </c>
      <c r="I17" s="735"/>
      <c r="J17" s="775" t="str">
        <f t="shared" si="2"/>
        <v>----</v>
      </c>
    </row>
    <row r="18" spans="1:10">
      <c r="A18" s="223"/>
      <c r="B18" s="117"/>
      <c r="C18" s="773"/>
      <c r="D18" s="789"/>
      <c r="E18" s="740"/>
      <c r="F18" s="774" t="str">
        <f t="shared" si="0"/>
        <v>----</v>
      </c>
      <c r="G18" s="740"/>
      <c r="H18" s="774" t="str">
        <f t="shared" si="1"/>
        <v>----</v>
      </c>
      <c r="I18" s="735"/>
      <c r="J18" s="775" t="str">
        <f t="shared" si="2"/>
        <v>----</v>
      </c>
    </row>
    <row r="19" spans="1:10">
      <c r="A19" s="223"/>
      <c r="B19" s="117"/>
      <c r="C19" s="773"/>
      <c r="D19" s="789"/>
      <c r="E19" s="740"/>
      <c r="F19" s="774" t="str">
        <f t="shared" si="0"/>
        <v>----</v>
      </c>
      <c r="G19" s="740"/>
      <c r="H19" s="774" t="str">
        <f t="shared" si="1"/>
        <v>----</v>
      </c>
      <c r="I19" s="735"/>
      <c r="J19" s="775" t="str">
        <f t="shared" si="2"/>
        <v>----</v>
      </c>
    </row>
    <row r="20" spans="1:10">
      <c r="A20" s="223"/>
      <c r="B20" s="117"/>
      <c r="C20" s="773"/>
      <c r="D20" s="789"/>
      <c r="E20" s="740"/>
      <c r="F20" s="774" t="str">
        <f t="shared" si="0"/>
        <v>----</v>
      </c>
      <c r="G20" s="740"/>
      <c r="H20" s="774" t="str">
        <f t="shared" si="1"/>
        <v>----</v>
      </c>
      <c r="I20" s="735"/>
      <c r="J20" s="775" t="str">
        <f t="shared" si="2"/>
        <v>----</v>
      </c>
    </row>
    <row r="21" spans="1:10">
      <c r="A21" s="223"/>
      <c r="B21" s="117"/>
      <c r="C21" s="773"/>
      <c r="D21" s="789"/>
      <c r="E21" s="740"/>
      <c r="F21" s="774" t="str">
        <f t="shared" si="0"/>
        <v>----</v>
      </c>
      <c r="G21" s="740"/>
      <c r="H21" s="774" t="str">
        <f t="shared" si="1"/>
        <v>----</v>
      </c>
      <c r="I21" s="735"/>
      <c r="J21" s="775" t="str">
        <f t="shared" si="2"/>
        <v>----</v>
      </c>
    </row>
    <row r="22" spans="1:10">
      <c r="A22" s="223"/>
      <c r="B22" s="117"/>
      <c r="C22" s="773"/>
      <c r="D22" s="789"/>
      <c r="E22" s="740"/>
      <c r="F22" s="774" t="str">
        <f t="shared" si="0"/>
        <v>----</v>
      </c>
      <c r="G22" s="740"/>
      <c r="H22" s="774" t="str">
        <f t="shared" si="1"/>
        <v>----</v>
      </c>
      <c r="I22" s="735"/>
      <c r="J22" s="775" t="str">
        <f t="shared" si="2"/>
        <v>----</v>
      </c>
    </row>
    <row r="23" spans="1:10" ht="15.75" thickBot="1">
      <c r="A23" s="74"/>
      <c r="B23" s="75"/>
      <c r="C23" s="783"/>
      <c r="D23" s="790"/>
      <c r="E23" s="796"/>
      <c r="F23" s="801" t="str">
        <f t="shared" si="0"/>
        <v>----</v>
      </c>
      <c r="G23" s="796"/>
      <c r="H23" s="801" t="str">
        <f t="shared" si="1"/>
        <v>----</v>
      </c>
      <c r="I23" s="793"/>
      <c r="J23" s="802" t="str">
        <f t="shared" si="2"/>
        <v>----</v>
      </c>
    </row>
    <row r="24" spans="1:10" ht="15.75" thickBot="1">
      <c r="A24" s="27"/>
      <c r="B24" s="27"/>
      <c r="C24" s="814"/>
      <c r="D24" s="814"/>
      <c r="E24" s="814"/>
      <c r="F24" s="815">
        <f>SUM(F4:F23)</f>
        <v>38820.989999999991</v>
      </c>
      <c r="G24" s="814"/>
      <c r="H24" s="815">
        <f>SUM(H4:H23)</f>
        <v>0</v>
      </c>
      <c r="I24" s="814"/>
      <c r="J24" s="815">
        <f>SUM(J4:J23)</f>
        <v>164218.33000000007</v>
      </c>
    </row>
  </sheetData>
  <mergeCells count="9">
    <mergeCell ref="A1:J1"/>
    <mergeCell ref="A5:A6"/>
    <mergeCell ref="E2:F2"/>
    <mergeCell ref="I2:J2"/>
    <mergeCell ref="A2:A3"/>
    <mergeCell ref="B2:B3"/>
    <mergeCell ref="C2:C3"/>
    <mergeCell ref="D2:D3"/>
    <mergeCell ref="G2:H2"/>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CD5F2-E153-418A-9695-8FE1DFC578EF}">
  <dimension ref="A1:L13"/>
  <sheetViews>
    <sheetView workbookViewId="0">
      <selection activeCell="L5" sqref="L5"/>
    </sheetView>
  </sheetViews>
  <sheetFormatPr defaultRowHeight="15"/>
  <cols>
    <col min="2" max="2" width="23.5703125" bestFit="1" customWidth="1"/>
    <col min="3" max="3" width="12.5703125" bestFit="1" customWidth="1"/>
    <col min="4" max="4" width="13.85546875" customWidth="1"/>
    <col min="5" max="5" width="10.7109375" style="432" bestFit="1" customWidth="1"/>
    <col min="6" max="6" width="9.5703125" style="432" bestFit="1" customWidth="1"/>
    <col min="7" max="7" width="10.7109375" style="432" bestFit="1" customWidth="1"/>
    <col min="8" max="8" width="9.5703125" style="432" bestFit="1" customWidth="1"/>
    <col min="9" max="9" width="10.7109375" bestFit="1" customWidth="1"/>
    <col min="10" max="10" width="9.5703125" bestFit="1" customWidth="1"/>
    <col min="12" max="12" width="11.140625" bestFit="1" customWidth="1"/>
  </cols>
  <sheetData>
    <row r="1" spans="1:12" ht="15.75" thickBot="1">
      <c r="A1" s="952" t="s">
        <v>289</v>
      </c>
      <c r="B1" s="953"/>
      <c r="C1" s="953"/>
      <c r="D1" s="953"/>
      <c r="E1" s="953"/>
      <c r="F1" s="953"/>
      <c r="G1" s="953"/>
      <c r="H1" s="953"/>
      <c r="I1" s="953"/>
      <c r="J1" s="954"/>
    </row>
    <row r="2" spans="1:12" s="432" customFormat="1">
      <c r="A2" s="959" t="s">
        <v>110</v>
      </c>
      <c r="B2" s="961" t="s">
        <v>111</v>
      </c>
      <c r="C2" s="961" t="s">
        <v>112</v>
      </c>
      <c r="D2" s="973" t="s">
        <v>120</v>
      </c>
      <c r="E2" s="957" t="s">
        <v>701</v>
      </c>
      <c r="F2" s="958"/>
      <c r="G2" s="957" t="s">
        <v>702</v>
      </c>
      <c r="H2" s="958"/>
      <c r="I2" s="932" t="s">
        <v>796</v>
      </c>
      <c r="J2" s="933"/>
    </row>
    <row r="3" spans="1:12" ht="57.75" thickBot="1">
      <c r="A3" s="960"/>
      <c r="B3" s="962"/>
      <c r="C3" s="962"/>
      <c r="D3" s="974"/>
      <c r="E3" s="460" t="s">
        <v>121</v>
      </c>
      <c r="F3" s="468" t="s">
        <v>113</v>
      </c>
      <c r="G3" s="460" t="s">
        <v>121</v>
      </c>
      <c r="H3" s="468" t="s">
        <v>113</v>
      </c>
      <c r="I3" s="478" t="s">
        <v>121</v>
      </c>
      <c r="J3" s="25" t="s">
        <v>113</v>
      </c>
    </row>
    <row r="4" spans="1:12">
      <c r="A4" s="70">
        <v>44124</v>
      </c>
      <c r="B4" s="71" t="s">
        <v>315</v>
      </c>
      <c r="C4" s="104">
        <v>706275.25</v>
      </c>
      <c r="D4" s="530">
        <v>296625.25</v>
      </c>
      <c r="E4" s="540"/>
      <c r="F4" s="635" t="str">
        <f t="shared" ref="F4:F12" si="0">IF(ISBLANK(E4),"----",E4-D4)</f>
        <v>----</v>
      </c>
      <c r="G4" s="540"/>
      <c r="H4" s="635" t="str">
        <f t="shared" ref="H4:H12" si="1">IF(OR(G4="Complete",ISBLANK(G4)),"----",G4-$D4)</f>
        <v>----</v>
      </c>
      <c r="I4" s="535">
        <f>706970.55-409650</f>
        <v>297320.55000000005</v>
      </c>
      <c r="J4" s="636">
        <f t="shared" ref="J4:J12" si="2">IF(OR(I4="Complete",ISBLANK(I4)),"----",I4-$D4)</f>
        <v>695.30000000004657</v>
      </c>
      <c r="K4" t="s">
        <v>422</v>
      </c>
      <c r="L4" s="719">
        <v>409650</v>
      </c>
    </row>
    <row r="5" spans="1:12">
      <c r="A5" s="88">
        <v>44153</v>
      </c>
      <c r="B5" s="101" t="s">
        <v>332</v>
      </c>
      <c r="C5" s="112">
        <v>409000.63</v>
      </c>
      <c r="D5" s="531">
        <v>135900.63</v>
      </c>
      <c r="E5" s="541">
        <v>133790.75</v>
      </c>
      <c r="F5" s="649">
        <f t="shared" si="0"/>
        <v>-2109.8800000000047</v>
      </c>
      <c r="G5" s="541" t="s">
        <v>703</v>
      </c>
      <c r="H5" s="649" t="str">
        <f t="shared" si="1"/>
        <v>----</v>
      </c>
      <c r="I5" s="536" t="s">
        <v>703</v>
      </c>
      <c r="J5" s="650" t="str">
        <f t="shared" si="2"/>
        <v>----</v>
      </c>
    </row>
    <row r="6" spans="1:12">
      <c r="A6" s="88">
        <v>44580</v>
      </c>
      <c r="B6" s="101" t="s">
        <v>492</v>
      </c>
      <c r="C6" s="112">
        <v>236396</v>
      </c>
      <c r="D6" s="531">
        <v>0</v>
      </c>
      <c r="E6" s="541"/>
      <c r="F6" s="649" t="str">
        <f t="shared" si="0"/>
        <v>----</v>
      </c>
      <c r="G6" s="541">
        <v>0</v>
      </c>
      <c r="H6" s="649">
        <f t="shared" si="1"/>
        <v>0</v>
      </c>
      <c r="I6" s="536">
        <v>0</v>
      </c>
      <c r="J6" s="650">
        <f t="shared" si="2"/>
        <v>0</v>
      </c>
      <c r="K6" t="s">
        <v>778</v>
      </c>
    </row>
    <row r="7" spans="1:12">
      <c r="A7" s="88">
        <v>44852</v>
      </c>
      <c r="B7" s="101" t="s">
        <v>573</v>
      </c>
      <c r="C7" s="112">
        <v>777108.59</v>
      </c>
      <c r="D7" s="531">
        <f>C7</f>
        <v>777108.59</v>
      </c>
      <c r="E7" s="541"/>
      <c r="F7" s="649" t="str">
        <f t="shared" si="0"/>
        <v>----</v>
      </c>
      <c r="G7" s="541"/>
      <c r="H7" s="649" t="str">
        <f t="shared" si="1"/>
        <v>----</v>
      </c>
      <c r="I7" s="536"/>
      <c r="J7" s="650" t="str">
        <f t="shared" si="2"/>
        <v>----</v>
      </c>
    </row>
    <row r="8" spans="1:12">
      <c r="A8" s="88">
        <v>45524</v>
      </c>
      <c r="B8" s="448" t="s">
        <v>767</v>
      </c>
      <c r="C8" s="112">
        <v>2065011</v>
      </c>
      <c r="D8" s="531">
        <f>C8-2000000</f>
        <v>65011</v>
      </c>
      <c r="E8" s="541"/>
      <c r="F8" s="649" t="str">
        <f t="shared" si="0"/>
        <v>----</v>
      </c>
      <c r="G8" s="541"/>
      <c r="H8" s="649" t="str">
        <f t="shared" si="1"/>
        <v>----</v>
      </c>
      <c r="I8" s="536"/>
      <c r="J8" s="650" t="str">
        <f t="shared" si="2"/>
        <v>----</v>
      </c>
      <c r="K8" t="s">
        <v>768</v>
      </c>
    </row>
    <row r="9" spans="1:12">
      <c r="A9" s="88"/>
      <c r="B9" s="101"/>
      <c r="C9" s="112"/>
      <c r="D9" s="531"/>
      <c r="E9" s="541"/>
      <c r="F9" s="649" t="str">
        <f t="shared" si="0"/>
        <v>----</v>
      </c>
      <c r="G9" s="541"/>
      <c r="H9" s="649" t="str">
        <f t="shared" si="1"/>
        <v>----</v>
      </c>
      <c r="I9" s="536"/>
      <c r="J9" s="650" t="str">
        <f t="shared" si="2"/>
        <v>----</v>
      </c>
    </row>
    <row r="10" spans="1:12">
      <c r="A10" s="88"/>
      <c r="B10" s="101"/>
      <c r="C10" s="112"/>
      <c r="D10" s="531"/>
      <c r="E10" s="541"/>
      <c r="F10" s="649" t="str">
        <f t="shared" si="0"/>
        <v>----</v>
      </c>
      <c r="G10" s="541"/>
      <c r="H10" s="649" t="str">
        <f t="shared" si="1"/>
        <v>----</v>
      </c>
      <c r="I10" s="536"/>
      <c r="J10" s="650" t="str">
        <f t="shared" si="2"/>
        <v>----</v>
      </c>
    </row>
    <row r="11" spans="1:12">
      <c r="A11" s="88"/>
      <c r="B11" s="101"/>
      <c r="C11" s="112"/>
      <c r="D11" s="531"/>
      <c r="E11" s="541"/>
      <c r="F11" s="649" t="str">
        <f t="shared" si="0"/>
        <v>----</v>
      </c>
      <c r="G11" s="541"/>
      <c r="H11" s="649" t="str">
        <f t="shared" si="1"/>
        <v>----</v>
      </c>
      <c r="I11" s="536"/>
      <c r="J11" s="650" t="str">
        <f t="shared" si="2"/>
        <v>----</v>
      </c>
    </row>
    <row r="12" spans="1:12" ht="15.75" thickBot="1">
      <c r="A12" s="74"/>
      <c r="B12" s="75"/>
      <c r="C12" s="106"/>
      <c r="D12" s="534"/>
      <c r="E12" s="544"/>
      <c r="F12" s="633" t="str">
        <f t="shared" si="0"/>
        <v>----</v>
      </c>
      <c r="G12" s="544"/>
      <c r="H12" s="633" t="str">
        <f t="shared" si="1"/>
        <v>----</v>
      </c>
      <c r="I12" s="539"/>
      <c r="J12" s="634" t="str">
        <f t="shared" si="2"/>
        <v>----</v>
      </c>
    </row>
    <row r="13" spans="1:12" ht="15.75" thickBot="1">
      <c r="A13" s="27"/>
      <c r="B13" s="27"/>
      <c r="C13" s="28"/>
      <c r="D13" s="28"/>
      <c r="E13" s="439"/>
      <c r="F13" s="441">
        <f>SUM(F4:F12)</f>
        <v>-2109.8800000000047</v>
      </c>
      <c r="G13" s="439"/>
      <c r="H13" s="441">
        <f>SUM(H4:H12)</f>
        <v>0</v>
      </c>
      <c r="I13" s="28"/>
      <c r="J13" s="69">
        <f>SUM(J4:J12)</f>
        <v>695.30000000004657</v>
      </c>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D81F4-B78D-4CA8-9F36-DCBACC947C40}">
  <dimension ref="A1:K15"/>
  <sheetViews>
    <sheetView workbookViewId="0">
      <selection activeCell="I6" sqref="I6"/>
    </sheetView>
  </sheetViews>
  <sheetFormatPr defaultRowHeight="15"/>
  <cols>
    <col min="2" max="2" width="22.85546875" bestFit="1" customWidth="1"/>
    <col min="3" max="3" width="12" bestFit="1" customWidth="1"/>
    <col min="4" max="4" width="11.7109375" customWidth="1"/>
    <col min="5" max="5" width="12" style="432" bestFit="1" customWidth="1"/>
    <col min="6" max="6" width="12.7109375" style="432" customWidth="1"/>
    <col min="7" max="7" width="12" style="432" bestFit="1" customWidth="1"/>
    <col min="8" max="8" width="12.7109375" style="432" customWidth="1"/>
    <col min="9" max="9" width="12" bestFit="1" customWidth="1"/>
    <col min="10" max="10" width="12.7109375" customWidth="1"/>
  </cols>
  <sheetData>
    <row r="1" spans="1:11" ht="15.75" thickBot="1">
      <c r="A1" s="952" t="s">
        <v>154</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46.5" thickBot="1">
      <c r="A3" s="960"/>
      <c r="B3" s="962"/>
      <c r="C3" s="962"/>
      <c r="D3" s="974"/>
      <c r="E3" s="460" t="s">
        <v>121</v>
      </c>
      <c r="F3" s="468" t="s">
        <v>113</v>
      </c>
      <c r="G3" s="460" t="s">
        <v>121</v>
      </c>
      <c r="H3" s="468" t="s">
        <v>113</v>
      </c>
      <c r="I3" s="478" t="s">
        <v>121</v>
      </c>
      <c r="J3" s="25" t="s">
        <v>113</v>
      </c>
    </row>
    <row r="4" spans="1:11">
      <c r="A4" s="70">
        <v>43816</v>
      </c>
      <c r="B4" s="71" t="s">
        <v>167</v>
      </c>
      <c r="C4" s="72">
        <v>1366861.89</v>
      </c>
      <c r="D4" s="429">
        <f>C4</f>
        <v>1366861.89</v>
      </c>
      <c r="E4" s="469">
        <v>1388056.33</v>
      </c>
      <c r="F4" s="470">
        <f t="shared" ref="F4:F14" si="0">IF(ISBLANK(E4),"----",E4-D4)</f>
        <v>21194.440000000177</v>
      </c>
      <c r="G4" s="469" t="s">
        <v>703</v>
      </c>
      <c r="H4" s="470" t="str">
        <f t="shared" ref="H4:H14" si="1">IF(OR(G4="Complete",ISBLANK(G4)),"----",G4-$D4)</f>
        <v>----</v>
      </c>
      <c r="I4" s="479" t="s">
        <v>703</v>
      </c>
      <c r="J4" s="73" t="str">
        <f t="shared" ref="J4:J14" si="2">IF(OR(I4="Complete",ISBLANK(I4)),"----",I4-$D4)</f>
        <v>----</v>
      </c>
    </row>
    <row r="5" spans="1:11">
      <c r="A5" s="88">
        <v>44153</v>
      </c>
      <c r="B5" s="101" t="s">
        <v>333</v>
      </c>
      <c r="C5" s="82">
        <v>599264.30000000005</v>
      </c>
      <c r="D5" s="431">
        <v>326164.3</v>
      </c>
      <c r="E5" s="471"/>
      <c r="F5" s="472" t="str">
        <f t="shared" si="0"/>
        <v>----</v>
      </c>
      <c r="G5" s="471">
        <f>588064.59-273100</f>
        <v>314964.58999999997</v>
      </c>
      <c r="H5" s="472">
        <f t="shared" si="1"/>
        <v>-11199.710000000021</v>
      </c>
      <c r="I5" s="484" t="s">
        <v>703</v>
      </c>
      <c r="J5" s="83" t="str">
        <f t="shared" si="2"/>
        <v>----</v>
      </c>
      <c r="K5" s="432" t="s">
        <v>748</v>
      </c>
    </row>
    <row r="6" spans="1:11">
      <c r="A6" s="88">
        <v>45279</v>
      </c>
      <c r="B6" s="101" t="s">
        <v>693</v>
      </c>
      <c r="C6" s="82">
        <v>970101.6</v>
      </c>
      <c r="D6" s="431">
        <f>C6</f>
        <v>970101.6</v>
      </c>
      <c r="E6" s="471"/>
      <c r="F6" s="472" t="str">
        <f t="shared" si="0"/>
        <v>----</v>
      </c>
      <c r="G6" s="471"/>
      <c r="H6" s="472" t="str">
        <f t="shared" si="1"/>
        <v>----</v>
      </c>
      <c r="I6" s="484"/>
      <c r="J6" s="83" t="str">
        <f t="shared" si="2"/>
        <v>----</v>
      </c>
    </row>
    <row r="7" spans="1:11">
      <c r="A7" s="88"/>
      <c r="B7" s="101"/>
      <c r="C7" s="82"/>
      <c r="D7" s="431"/>
      <c r="E7" s="471"/>
      <c r="F7" s="472" t="str">
        <f t="shared" si="0"/>
        <v>----</v>
      </c>
      <c r="G7" s="471"/>
      <c r="H7" s="472" t="str">
        <f t="shared" si="1"/>
        <v>----</v>
      </c>
      <c r="I7" s="484"/>
      <c r="J7" s="83" t="str">
        <f t="shared" si="2"/>
        <v>----</v>
      </c>
    </row>
    <row r="8" spans="1:11">
      <c r="A8" s="88"/>
      <c r="B8" s="101"/>
      <c r="C8" s="82"/>
      <c r="D8" s="431"/>
      <c r="E8" s="471"/>
      <c r="F8" s="472" t="str">
        <f t="shared" si="0"/>
        <v>----</v>
      </c>
      <c r="G8" s="471"/>
      <c r="H8" s="472" t="str">
        <f t="shared" si="1"/>
        <v>----</v>
      </c>
      <c r="I8" s="484"/>
      <c r="J8" s="83" t="str">
        <f t="shared" si="2"/>
        <v>----</v>
      </c>
    </row>
    <row r="9" spans="1:11">
      <c r="A9" s="88"/>
      <c r="B9" s="101"/>
      <c r="C9" s="82"/>
      <c r="D9" s="431"/>
      <c r="E9" s="471"/>
      <c r="F9" s="472" t="str">
        <f t="shared" si="0"/>
        <v>----</v>
      </c>
      <c r="G9" s="471"/>
      <c r="H9" s="472" t="str">
        <f t="shared" si="1"/>
        <v>----</v>
      </c>
      <c r="I9" s="484"/>
      <c r="J9" s="83" t="str">
        <f t="shared" si="2"/>
        <v>----</v>
      </c>
    </row>
    <row r="10" spans="1:11">
      <c r="A10" s="88"/>
      <c r="B10" s="101"/>
      <c r="C10" s="82"/>
      <c r="D10" s="431"/>
      <c r="E10" s="471"/>
      <c r="F10" s="472" t="str">
        <f t="shared" si="0"/>
        <v>----</v>
      </c>
      <c r="G10" s="471"/>
      <c r="H10" s="472" t="str">
        <f t="shared" si="1"/>
        <v>----</v>
      </c>
      <c r="I10" s="484"/>
      <c r="J10" s="83" t="str">
        <f t="shared" si="2"/>
        <v>----</v>
      </c>
    </row>
    <row r="11" spans="1:11">
      <c r="A11" s="88"/>
      <c r="B11" s="101"/>
      <c r="C11" s="82"/>
      <c r="D11" s="431"/>
      <c r="E11" s="471"/>
      <c r="F11" s="472" t="str">
        <f t="shared" si="0"/>
        <v>----</v>
      </c>
      <c r="G11" s="471"/>
      <c r="H11" s="472" t="str">
        <f t="shared" si="1"/>
        <v>----</v>
      </c>
      <c r="I11" s="484"/>
      <c r="J11" s="83" t="str">
        <f t="shared" si="2"/>
        <v>----</v>
      </c>
    </row>
    <row r="12" spans="1:11">
      <c r="A12" s="88"/>
      <c r="B12" s="101"/>
      <c r="C12" s="82"/>
      <c r="D12" s="431"/>
      <c r="E12" s="471"/>
      <c r="F12" s="472" t="str">
        <f t="shared" si="0"/>
        <v>----</v>
      </c>
      <c r="G12" s="471"/>
      <c r="H12" s="472" t="str">
        <f t="shared" si="1"/>
        <v>----</v>
      </c>
      <c r="I12" s="484"/>
      <c r="J12" s="83" t="str">
        <f t="shared" si="2"/>
        <v>----</v>
      </c>
    </row>
    <row r="13" spans="1:11">
      <c r="A13" s="88"/>
      <c r="B13" s="101"/>
      <c r="C13" s="82"/>
      <c r="D13" s="431"/>
      <c r="E13" s="471"/>
      <c r="F13" s="472" t="str">
        <f t="shared" si="0"/>
        <v>----</v>
      </c>
      <c r="G13" s="471"/>
      <c r="H13" s="472" t="str">
        <f t="shared" si="1"/>
        <v>----</v>
      </c>
      <c r="I13" s="484"/>
      <c r="J13" s="83" t="str">
        <f t="shared" si="2"/>
        <v>----</v>
      </c>
    </row>
    <row r="14" spans="1:11" ht="15.75" thickBot="1">
      <c r="A14" s="74"/>
      <c r="B14" s="75"/>
      <c r="C14" s="76"/>
      <c r="D14" s="430"/>
      <c r="E14" s="475"/>
      <c r="F14" s="476" t="str">
        <f t="shared" si="0"/>
        <v>----</v>
      </c>
      <c r="G14" s="475"/>
      <c r="H14" s="476" t="str">
        <f t="shared" si="1"/>
        <v>----</v>
      </c>
      <c r="I14" s="481"/>
      <c r="J14" s="77" t="str">
        <f t="shared" si="2"/>
        <v>----</v>
      </c>
    </row>
    <row r="15" spans="1:11" ht="15.75" thickBot="1">
      <c r="A15" s="27"/>
      <c r="B15" s="27"/>
      <c r="C15" s="28"/>
      <c r="D15" s="28"/>
      <c r="E15" s="439"/>
      <c r="F15" s="441">
        <f>SUM(F4:F14)</f>
        <v>21194.440000000177</v>
      </c>
      <c r="G15" s="439"/>
      <c r="H15" s="441">
        <f>SUM(H4:H14)</f>
        <v>-11199.710000000021</v>
      </c>
      <c r="I15" s="28"/>
      <c r="J15" s="69">
        <f>SUM(J4:J14)</f>
        <v>0</v>
      </c>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09AD7-F828-473F-BD89-FC1F62B6C8C2}">
  <dimension ref="A1:J18"/>
  <sheetViews>
    <sheetView workbookViewId="0">
      <selection activeCell="G13" sqref="G13"/>
    </sheetView>
  </sheetViews>
  <sheetFormatPr defaultRowHeight="15"/>
  <cols>
    <col min="2" max="2" width="16.28515625" bestFit="1" customWidth="1"/>
    <col min="3" max="3" width="12.5703125" bestFit="1" customWidth="1"/>
    <col min="4" max="4" width="10.140625" bestFit="1" customWidth="1"/>
    <col min="5" max="8" width="9.140625" style="432"/>
  </cols>
  <sheetData>
    <row r="1" spans="1:10" ht="15.75" thickBot="1">
      <c r="A1" s="952" t="s">
        <v>267</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69" thickBot="1">
      <c r="A3" s="960"/>
      <c r="B3" s="962"/>
      <c r="C3" s="962"/>
      <c r="D3" s="974"/>
      <c r="E3" s="460" t="s">
        <v>121</v>
      </c>
      <c r="F3" s="468" t="s">
        <v>113</v>
      </c>
      <c r="G3" s="460" t="s">
        <v>121</v>
      </c>
      <c r="H3" s="468" t="s">
        <v>113</v>
      </c>
      <c r="I3" s="478" t="s">
        <v>121</v>
      </c>
      <c r="J3" s="25" t="s">
        <v>113</v>
      </c>
    </row>
    <row r="4" spans="1:10">
      <c r="A4" s="70">
        <v>45797</v>
      </c>
      <c r="B4" s="443" t="s">
        <v>874</v>
      </c>
      <c r="C4" s="781">
        <v>534526.9</v>
      </c>
      <c r="D4" s="787">
        <f>C4</f>
        <v>534526.9</v>
      </c>
      <c r="E4" s="794"/>
      <c r="F4" s="803" t="str">
        <f>IF(ISBLANK(E4),"----",E4-D4)</f>
        <v>----</v>
      </c>
      <c r="G4" s="794"/>
      <c r="H4" s="803" t="str">
        <f>IF(OR(G4="Complete",ISBLANK(G4)),"----",G4-$D4)</f>
        <v>----</v>
      </c>
      <c r="I4" s="791"/>
      <c r="J4" s="804" t="str">
        <f>IF(OR(I4="Complete",ISBLANK(I4)),"----",I4-$D4)</f>
        <v>----</v>
      </c>
    </row>
    <row r="5" spans="1:10" s="780" customFormat="1">
      <c r="A5" s="696"/>
      <c r="B5" s="697"/>
      <c r="C5" s="784"/>
      <c r="D5" s="788"/>
      <c r="E5" s="795"/>
      <c r="F5" s="807" t="str">
        <f t="shared" ref="F5:F14" si="0">IF(ISBLANK(E5),"----",E5-D5)</f>
        <v>----</v>
      </c>
      <c r="G5" s="795"/>
      <c r="H5" s="807" t="str">
        <f t="shared" ref="H5:H14" si="1">IF(OR(G5="Complete",ISBLANK(G5)),"----",G5-$D5)</f>
        <v>----</v>
      </c>
      <c r="I5" s="792"/>
      <c r="J5" s="808" t="str">
        <f t="shared" ref="J5:J14" si="2">IF(OR(I5="Complete",ISBLANK(I5)),"----",I5-$D5)</f>
        <v>----</v>
      </c>
    </row>
    <row r="6" spans="1:10" s="780" customFormat="1">
      <c r="A6" s="696"/>
      <c r="B6" s="697"/>
      <c r="C6" s="784"/>
      <c r="D6" s="788"/>
      <c r="E6" s="795"/>
      <c r="F6" s="807" t="str">
        <f t="shared" si="0"/>
        <v>----</v>
      </c>
      <c r="G6" s="795"/>
      <c r="H6" s="807" t="str">
        <f t="shared" si="1"/>
        <v>----</v>
      </c>
      <c r="I6" s="792"/>
      <c r="J6" s="808" t="str">
        <f t="shared" si="2"/>
        <v>----</v>
      </c>
    </row>
    <row r="7" spans="1:10" s="780" customFormat="1">
      <c r="A7" s="696"/>
      <c r="B7" s="697"/>
      <c r="C7" s="784"/>
      <c r="D7" s="788"/>
      <c r="E7" s="795"/>
      <c r="F7" s="807" t="str">
        <f t="shared" si="0"/>
        <v>----</v>
      </c>
      <c r="G7" s="795"/>
      <c r="H7" s="807" t="str">
        <f t="shared" si="1"/>
        <v>----</v>
      </c>
      <c r="I7" s="792"/>
      <c r="J7" s="808" t="str">
        <f t="shared" si="2"/>
        <v>----</v>
      </c>
    </row>
    <row r="8" spans="1:10" s="780" customFormat="1">
      <c r="A8" s="696"/>
      <c r="B8" s="697"/>
      <c r="C8" s="784"/>
      <c r="D8" s="788"/>
      <c r="E8" s="795"/>
      <c r="F8" s="807" t="str">
        <f t="shared" si="0"/>
        <v>----</v>
      </c>
      <c r="G8" s="795"/>
      <c r="H8" s="807" t="str">
        <f t="shared" si="1"/>
        <v>----</v>
      </c>
      <c r="I8" s="792"/>
      <c r="J8" s="808" t="str">
        <f t="shared" si="2"/>
        <v>----</v>
      </c>
    </row>
    <row r="9" spans="1:10" s="780" customFormat="1">
      <c r="A9" s="696"/>
      <c r="B9" s="697"/>
      <c r="C9" s="784"/>
      <c r="D9" s="788"/>
      <c r="E9" s="795"/>
      <c r="F9" s="807" t="str">
        <f t="shared" si="0"/>
        <v>----</v>
      </c>
      <c r="G9" s="795"/>
      <c r="H9" s="807" t="str">
        <f t="shared" si="1"/>
        <v>----</v>
      </c>
      <c r="I9" s="792"/>
      <c r="J9" s="808" t="str">
        <f t="shared" si="2"/>
        <v>----</v>
      </c>
    </row>
    <row r="10" spans="1:10" s="780" customFormat="1">
      <c r="A10" s="696"/>
      <c r="B10" s="697"/>
      <c r="C10" s="784"/>
      <c r="D10" s="788"/>
      <c r="E10" s="795"/>
      <c r="F10" s="807" t="str">
        <f t="shared" si="0"/>
        <v>----</v>
      </c>
      <c r="G10" s="795"/>
      <c r="H10" s="807" t="str">
        <f t="shared" si="1"/>
        <v>----</v>
      </c>
      <c r="I10" s="792"/>
      <c r="J10" s="808" t="str">
        <f t="shared" si="2"/>
        <v>----</v>
      </c>
    </row>
    <row r="11" spans="1:10" s="780" customFormat="1">
      <c r="A11" s="696"/>
      <c r="B11" s="697"/>
      <c r="C11" s="784"/>
      <c r="D11" s="788"/>
      <c r="E11" s="795"/>
      <c r="F11" s="807" t="str">
        <f t="shared" si="0"/>
        <v>----</v>
      </c>
      <c r="G11" s="795"/>
      <c r="H11" s="807" t="str">
        <f t="shared" si="1"/>
        <v>----</v>
      </c>
      <c r="I11" s="792"/>
      <c r="J11" s="808" t="str">
        <f t="shared" si="2"/>
        <v>----</v>
      </c>
    </row>
    <row r="12" spans="1:10" s="780" customFormat="1">
      <c r="A12" s="696"/>
      <c r="B12" s="697"/>
      <c r="C12" s="784"/>
      <c r="D12" s="788"/>
      <c r="E12" s="795"/>
      <c r="F12" s="807" t="str">
        <f t="shared" si="0"/>
        <v>----</v>
      </c>
      <c r="G12" s="795"/>
      <c r="H12" s="807" t="str">
        <f t="shared" si="1"/>
        <v>----</v>
      </c>
      <c r="I12" s="792"/>
      <c r="J12" s="808" t="str">
        <f t="shared" si="2"/>
        <v>----</v>
      </c>
    </row>
    <row r="13" spans="1:10" s="780" customFormat="1">
      <c r="A13" s="696"/>
      <c r="B13" s="697"/>
      <c r="C13" s="784"/>
      <c r="D13" s="788"/>
      <c r="E13" s="795"/>
      <c r="F13" s="807" t="str">
        <f t="shared" si="0"/>
        <v>----</v>
      </c>
      <c r="G13" s="795"/>
      <c r="H13" s="807" t="str">
        <f t="shared" si="1"/>
        <v>----</v>
      </c>
      <c r="I13" s="792"/>
      <c r="J13" s="808" t="str">
        <f t="shared" si="2"/>
        <v>----</v>
      </c>
    </row>
    <row r="14" spans="1:10" s="780" customFormat="1">
      <c r="A14" s="696"/>
      <c r="B14" s="697"/>
      <c r="C14" s="784"/>
      <c r="D14" s="788"/>
      <c r="E14" s="795"/>
      <c r="F14" s="807" t="str">
        <f t="shared" si="0"/>
        <v>----</v>
      </c>
      <c r="G14" s="795"/>
      <c r="H14" s="807" t="str">
        <f t="shared" si="1"/>
        <v>----</v>
      </c>
      <c r="I14" s="792"/>
      <c r="J14" s="808" t="str">
        <f t="shared" si="2"/>
        <v>----</v>
      </c>
    </row>
    <row r="15" spans="1:10">
      <c r="A15" s="88"/>
      <c r="B15" s="101"/>
      <c r="C15" s="784"/>
      <c r="D15" s="788"/>
      <c r="E15" s="795"/>
      <c r="F15" s="807" t="str">
        <f>IF(ISBLANK(E15),"----",E15-D15)</f>
        <v>----</v>
      </c>
      <c r="G15" s="795"/>
      <c r="H15" s="807" t="str">
        <f>IF(OR(G15="Complete",ISBLANK(G15)),"----",G15-$D15)</f>
        <v>----</v>
      </c>
      <c r="I15" s="792"/>
      <c r="J15" s="808" t="str">
        <f>IF(OR(I15="Complete",ISBLANK(I15)),"----",I15-$D15)</f>
        <v>----</v>
      </c>
    </row>
    <row r="16" spans="1:10">
      <c r="A16" s="91"/>
      <c r="B16" s="92"/>
      <c r="C16" s="782"/>
      <c r="D16" s="797"/>
      <c r="E16" s="799"/>
      <c r="F16" s="662" t="str">
        <f>IF(ISBLANK(E16),"----",E16-D16)</f>
        <v>----</v>
      </c>
      <c r="G16" s="799"/>
      <c r="H16" s="662" t="str">
        <f>IF(OR(G16="Complete",ISBLANK(G16)),"----",G16-$D16)</f>
        <v>----</v>
      </c>
      <c r="I16" s="798"/>
      <c r="J16" s="663" t="str">
        <f>IF(OR(I16="Complete",ISBLANK(I16)),"----",I16-$D16)</f>
        <v>----</v>
      </c>
    </row>
    <row r="17" spans="1:10" ht="15.75" thickBot="1">
      <c r="A17" s="74"/>
      <c r="B17" s="75"/>
      <c r="C17" s="783"/>
      <c r="D17" s="790"/>
      <c r="E17" s="796"/>
      <c r="F17" s="801" t="str">
        <f>IF(ISBLANK(E17),"----",E17-D17)</f>
        <v>----</v>
      </c>
      <c r="G17" s="796"/>
      <c r="H17" s="801" t="str">
        <f>IF(OR(G17="Complete",ISBLANK(G17)),"----",G17-$D17)</f>
        <v>----</v>
      </c>
      <c r="I17" s="793"/>
      <c r="J17" s="802" t="str">
        <f>IF(OR(I17="Complete",ISBLANK(I17)),"----",I17-$D17)</f>
        <v>----</v>
      </c>
    </row>
    <row r="18" spans="1:10" ht="15.75" thickBot="1">
      <c r="A18" s="27"/>
      <c r="B18" s="27"/>
      <c r="C18" s="28"/>
      <c r="D18" s="28"/>
      <c r="E18" s="439"/>
      <c r="F18" s="441">
        <f>SUM(F4:F17)</f>
        <v>0</v>
      </c>
      <c r="G18" s="439"/>
      <c r="H18" s="441">
        <f>SUM(H4:H17)</f>
        <v>0</v>
      </c>
      <c r="I18" s="28"/>
      <c r="J18" s="69">
        <f>SUM(J4:J17)</f>
        <v>0</v>
      </c>
    </row>
  </sheetData>
  <mergeCells count="8">
    <mergeCell ref="A1:J1"/>
    <mergeCell ref="E2:F2"/>
    <mergeCell ref="A2:A3"/>
    <mergeCell ref="B2:B3"/>
    <mergeCell ref="C2:C3"/>
    <mergeCell ref="D2:D3"/>
    <mergeCell ref="I2:J2"/>
    <mergeCell ref="G2:H2"/>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04FA6-B4B9-4A2C-8EB6-F0320C5BC241}">
  <dimension ref="A1:J8"/>
  <sheetViews>
    <sheetView workbookViewId="0">
      <selection activeCell="N13" sqref="N13"/>
    </sheetView>
  </sheetViews>
  <sheetFormatPr defaultRowHeight="15"/>
  <cols>
    <col min="2" max="2" width="20.7109375" bestFit="1" customWidth="1"/>
    <col min="3" max="3" width="11.140625" bestFit="1" customWidth="1"/>
    <col min="4" max="4" width="11.5703125" customWidth="1"/>
    <col min="5" max="5" width="9.5703125" style="432" bestFit="1" customWidth="1"/>
    <col min="6" max="6" width="11.5703125" style="432" customWidth="1"/>
    <col min="7" max="7" width="9.5703125" style="432" bestFit="1" customWidth="1"/>
    <col min="8" max="8" width="11.5703125" style="432" customWidth="1"/>
    <col min="9" max="9" width="9.5703125" bestFit="1" customWidth="1"/>
    <col min="10" max="10" width="11.5703125" customWidth="1"/>
  </cols>
  <sheetData>
    <row r="1" spans="1:10" ht="15.75" thickBot="1">
      <c r="A1" s="952" t="s">
        <v>268</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57.75" thickBot="1">
      <c r="A3" s="960"/>
      <c r="B3" s="962"/>
      <c r="C3" s="962"/>
      <c r="D3" s="974"/>
      <c r="E3" s="460" t="s">
        <v>121</v>
      </c>
      <c r="F3" s="468" t="s">
        <v>113</v>
      </c>
      <c r="G3" s="460" t="s">
        <v>121</v>
      </c>
      <c r="H3" s="468" t="s">
        <v>113</v>
      </c>
      <c r="I3" s="478" t="s">
        <v>121</v>
      </c>
      <c r="J3" s="25" t="s">
        <v>113</v>
      </c>
    </row>
    <row r="4" spans="1:10">
      <c r="A4" s="70">
        <v>44061</v>
      </c>
      <c r="B4" s="71" t="s">
        <v>300</v>
      </c>
      <c r="C4" s="104">
        <v>1230943.05</v>
      </c>
      <c r="D4" s="530">
        <v>788521.05</v>
      </c>
      <c r="E4" s="540">
        <v>777172.75</v>
      </c>
      <c r="F4" s="470">
        <f>IF(ISBLANK(E4),"----",E4-$D4)</f>
        <v>-11348.300000000047</v>
      </c>
      <c r="G4" s="540" t="s">
        <v>703</v>
      </c>
      <c r="H4" s="470" t="str">
        <f>IF(OR(G4="Complete",ISBLANK(G4)),"----",G4-$D4)</f>
        <v>----</v>
      </c>
      <c r="I4" s="535" t="s">
        <v>703</v>
      </c>
      <c r="J4" s="73" t="str">
        <f>IF(OR(I4="Complete",ISBLANK(I4)),"----",I4-$D4)</f>
        <v>----</v>
      </c>
    </row>
    <row r="5" spans="1:10">
      <c r="A5" s="88"/>
      <c r="B5" s="101"/>
      <c r="C5" s="112"/>
      <c r="D5" s="531"/>
      <c r="E5" s="541"/>
      <c r="F5" s="472" t="str">
        <f t="shared" ref="F5:F7" si="0">IF(ISBLANK(E5),"----",E5-$D5)</f>
        <v>----</v>
      </c>
      <c r="G5" s="541"/>
      <c r="H5" s="472" t="str">
        <f>IF(OR(G5="Complete",ISBLANK(G5)),"----",G5-$D5)</f>
        <v>----</v>
      </c>
      <c r="I5" s="536"/>
      <c r="J5" s="83" t="str">
        <f>IF(OR(I5="Complete",ISBLANK(I5)),"----",I5-$D5)</f>
        <v>----</v>
      </c>
    </row>
    <row r="6" spans="1:10">
      <c r="A6" s="91"/>
      <c r="B6" s="92"/>
      <c r="C6" s="105"/>
      <c r="D6" s="550"/>
      <c r="E6" s="552"/>
      <c r="F6" s="483" t="str">
        <f t="shared" si="0"/>
        <v>----</v>
      </c>
      <c r="G6" s="552"/>
      <c r="H6" s="483" t="str">
        <f>IF(OR(G6="Complete",ISBLANK(G6)),"----",G6-$D6)</f>
        <v>----</v>
      </c>
      <c r="I6" s="551"/>
      <c r="J6" s="85" t="str">
        <f>IF(OR(I6="Complete",ISBLANK(I6)),"----",I6-$D6)</f>
        <v>----</v>
      </c>
    </row>
    <row r="7" spans="1:10" ht="15.75" thickBot="1">
      <c r="A7" s="74"/>
      <c r="B7" s="75"/>
      <c r="C7" s="106"/>
      <c r="D7" s="534"/>
      <c r="E7" s="544"/>
      <c r="F7" s="476" t="str">
        <f t="shared" si="0"/>
        <v>----</v>
      </c>
      <c r="G7" s="544"/>
      <c r="H7" s="476" t="str">
        <f>IF(OR(G7="Complete",ISBLANK(G7)),"----",G7-$D7)</f>
        <v>----</v>
      </c>
      <c r="I7" s="539"/>
      <c r="J7" s="77" t="str">
        <f>IF(OR(I7="Complete",ISBLANK(I7)),"----",I7-$D7)</f>
        <v>----</v>
      </c>
    </row>
    <row r="8" spans="1:10" ht="15.75" thickBot="1">
      <c r="A8" s="27"/>
      <c r="B8" s="27"/>
      <c r="C8" s="28"/>
      <c r="D8" s="28"/>
      <c r="E8" s="439"/>
      <c r="F8" s="441">
        <f>SUM(F4:F7)</f>
        <v>-11348.300000000047</v>
      </c>
      <c r="G8" s="439"/>
      <c r="H8" s="441">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60B5D-6DE4-4EBA-B4AD-C5B1D35E26E9}">
  <dimension ref="A1:K22"/>
  <sheetViews>
    <sheetView workbookViewId="0">
      <selection activeCell="B15" sqref="B15"/>
    </sheetView>
  </sheetViews>
  <sheetFormatPr defaultRowHeight="15"/>
  <cols>
    <col min="2" max="2" width="23" bestFit="1" customWidth="1"/>
    <col min="3" max="4" width="12" bestFit="1" customWidth="1"/>
    <col min="5" max="5" width="12" style="432" bestFit="1" customWidth="1"/>
    <col min="6" max="6" width="13.85546875" style="432" customWidth="1"/>
    <col min="7" max="7" width="12" style="432" bestFit="1" customWidth="1"/>
    <col min="8" max="8" width="13.85546875" style="432" customWidth="1"/>
    <col min="9" max="9" width="12" bestFit="1" customWidth="1"/>
    <col min="10" max="10" width="13.85546875" customWidth="1"/>
  </cols>
  <sheetData>
    <row r="1" spans="1:11" ht="15.75" thickBot="1">
      <c r="A1" s="952" t="s">
        <v>185</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46.5" thickBot="1">
      <c r="A3" s="960"/>
      <c r="B3" s="962"/>
      <c r="C3" s="962"/>
      <c r="D3" s="974"/>
      <c r="E3" s="460" t="s">
        <v>121</v>
      </c>
      <c r="F3" s="468" t="s">
        <v>113</v>
      </c>
      <c r="G3" s="460" t="s">
        <v>121</v>
      </c>
      <c r="H3" s="468" t="s">
        <v>113</v>
      </c>
      <c r="I3" s="478" t="s">
        <v>121</v>
      </c>
      <c r="J3" s="25" t="s">
        <v>113</v>
      </c>
    </row>
    <row r="4" spans="1:11">
      <c r="A4" s="70">
        <v>43852</v>
      </c>
      <c r="B4" s="71" t="s">
        <v>196</v>
      </c>
      <c r="C4" s="781">
        <v>1221334.17</v>
      </c>
      <c r="D4" s="787">
        <f>C4</f>
        <v>1221334.17</v>
      </c>
      <c r="E4" s="794">
        <v>1195463.57</v>
      </c>
      <c r="F4" s="803">
        <f t="shared" ref="F4:F21" si="0">IF(ISBLANK(E4),"----",E4-D4)</f>
        <v>-25870.59999999986</v>
      </c>
      <c r="G4" s="794" t="s">
        <v>703</v>
      </c>
      <c r="H4" s="803" t="str">
        <f t="shared" ref="H4:H21" si="1">IF(OR(G4="Complete",ISBLANK(G4)),"----",G4-$D4)</f>
        <v>----</v>
      </c>
      <c r="I4" s="791" t="s">
        <v>703</v>
      </c>
      <c r="J4" s="804" t="str">
        <f t="shared" ref="J4:J21" si="2">IF(OR(I4="Complete",ISBLANK(I4)),"----",I4-$D4)</f>
        <v>----</v>
      </c>
    </row>
    <row r="5" spans="1:11">
      <c r="A5" s="88">
        <v>43879</v>
      </c>
      <c r="B5" s="101" t="s">
        <v>219</v>
      </c>
      <c r="C5" s="784">
        <v>659062.44999999995</v>
      </c>
      <c r="D5" s="788">
        <v>440582.45</v>
      </c>
      <c r="E5" s="795">
        <v>405284.05</v>
      </c>
      <c r="F5" s="807">
        <f t="shared" si="0"/>
        <v>-35298.400000000023</v>
      </c>
      <c r="G5" s="795" t="s">
        <v>703</v>
      </c>
      <c r="H5" s="807" t="str">
        <f t="shared" si="1"/>
        <v>----</v>
      </c>
      <c r="I5" s="792" t="s">
        <v>703</v>
      </c>
      <c r="J5" s="808" t="str">
        <f t="shared" si="2"/>
        <v>----</v>
      </c>
      <c r="K5" t="s">
        <v>220</v>
      </c>
    </row>
    <row r="6" spans="1:11">
      <c r="A6" s="970">
        <v>44243</v>
      </c>
      <c r="B6" s="103" t="s">
        <v>399</v>
      </c>
      <c r="C6" s="770">
        <v>875107</v>
      </c>
      <c r="D6" s="729">
        <v>656627</v>
      </c>
      <c r="E6" s="739"/>
      <c r="F6" s="807" t="str">
        <f t="shared" si="0"/>
        <v>----</v>
      </c>
      <c r="G6" s="739"/>
      <c r="H6" s="807" t="str">
        <f t="shared" si="1"/>
        <v>----</v>
      </c>
      <c r="I6" s="734">
        <f>884224.32-218480</f>
        <v>665744.31999999995</v>
      </c>
      <c r="J6" s="808">
        <f t="shared" si="2"/>
        <v>9117.3199999999488</v>
      </c>
      <c r="K6" t="s">
        <v>808</v>
      </c>
    </row>
    <row r="7" spans="1:11">
      <c r="A7" s="972"/>
      <c r="B7" s="103" t="s">
        <v>400</v>
      </c>
      <c r="C7" s="770">
        <v>771101.6</v>
      </c>
      <c r="D7" s="729">
        <v>552621.6</v>
      </c>
      <c r="E7" s="739"/>
      <c r="F7" s="807" t="str">
        <f t="shared" si="0"/>
        <v>----</v>
      </c>
      <c r="G7" s="739"/>
      <c r="H7" s="807" t="str">
        <f t="shared" si="1"/>
        <v>----</v>
      </c>
      <c r="I7" s="734">
        <f>777931.05-218480</f>
        <v>559451.05000000005</v>
      </c>
      <c r="J7" s="808">
        <f t="shared" si="2"/>
        <v>6829.4500000000698</v>
      </c>
      <c r="K7" s="780" t="s">
        <v>809</v>
      </c>
    </row>
    <row r="8" spans="1:11">
      <c r="A8" s="102">
        <v>44551</v>
      </c>
      <c r="B8" s="256" t="s">
        <v>484</v>
      </c>
      <c r="C8" s="770">
        <v>1494122.4</v>
      </c>
      <c r="D8" s="729">
        <f>C8</f>
        <v>1494122.4</v>
      </c>
      <c r="E8" s="739">
        <v>1449485.68</v>
      </c>
      <c r="F8" s="807">
        <f t="shared" si="0"/>
        <v>-44636.719999999972</v>
      </c>
      <c r="G8" s="739" t="s">
        <v>703</v>
      </c>
      <c r="H8" s="807" t="str">
        <f t="shared" si="1"/>
        <v>----</v>
      </c>
      <c r="I8" s="734" t="s">
        <v>703</v>
      </c>
      <c r="J8" s="808" t="str">
        <f t="shared" si="2"/>
        <v>----</v>
      </c>
    </row>
    <row r="9" spans="1:11">
      <c r="A9" s="102">
        <v>44915</v>
      </c>
      <c r="B9" s="103" t="s">
        <v>616</v>
      </c>
      <c r="C9" s="770">
        <v>653836.69999999995</v>
      </c>
      <c r="D9" s="729">
        <f>130767.34+523069.36</f>
        <v>653836.69999999995</v>
      </c>
      <c r="E9" s="739"/>
      <c r="F9" s="807" t="str">
        <f t="shared" si="0"/>
        <v>----</v>
      </c>
      <c r="G9" s="739"/>
      <c r="H9" s="807" t="str">
        <f t="shared" si="1"/>
        <v>----</v>
      </c>
      <c r="I9" s="734">
        <v>685624.78</v>
      </c>
      <c r="J9" s="808">
        <f t="shared" si="2"/>
        <v>31788.080000000075</v>
      </c>
    </row>
    <row r="10" spans="1:11">
      <c r="A10" s="404">
        <v>45251</v>
      </c>
      <c r="B10" s="405" t="s">
        <v>678</v>
      </c>
      <c r="C10" s="770">
        <v>739176</v>
      </c>
      <c r="D10" s="729">
        <f>C10</f>
        <v>739176</v>
      </c>
      <c r="E10" s="739"/>
      <c r="F10" s="807" t="str">
        <f t="shared" si="0"/>
        <v>----</v>
      </c>
      <c r="G10" s="739"/>
      <c r="H10" s="807" t="str">
        <f t="shared" si="1"/>
        <v>----</v>
      </c>
      <c r="I10" s="734">
        <v>740923.85</v>
      </c>
      <c r="J10" s="808">
        <f t="shared" si="2"/>
        <v>1747.8499999999767</v>
      </c>
    </row>
    <row r="11" spans="1:11">
      <c r="A11" s="404">
        <v>45251</v>
      </c>
      <c r="B11" s="405" t="s">
        <v>679</v>
      </c>
      <c r="C11" s="770">
        <v>631625</v>
      </c>
      <c r="D11" s="729">
        <f>C11</f>
        <v>631625</v>
      </c>
      <c r="E11" s="739"/>
      <c r="F11" s="807" t="str">
        <f t="shared" si="0"/>
        <v>----</v>
      </c>
      <c r="G11" s="739"/>
      <c r="H11" s="807" t="str">
        <f t="shared" si="1"/>
        <v>----</v>
      </c>
      <c r="I11" s="734">
        <v>629064.5</v>
      </c>
      <c r="J11" s="808">
        <f t="shared" si="2"/>
        <v>-2560.5</v>
      </c>
    </row>
    <row r="12" spans="1:11">
      <c r="A12" s="102"/>
      <c r="B12" s="103"/>
      <c r="C12" s="770"/>
      <c r="D12" s="729"/>
      <c r="E12" s="739"/>
      <c r="F12" s="807" t="str">
        <f t="shared" si="0"/>
        <v>----</v>
      </c>
      <c r="G12" s="739"/>
      <c r="H12" s="807" t="str">
        <f t="shared" si="1"/>
        <v>----</v>
      </c>
      <c r="I12" s="734"/>
      <c r="J12" s="808" t="str">
        <f t="shared" si="2"/>
        <v>----</v>
      </c>
    </row>
    <row r="13" spans="1:11">
      <c r="A13" s="102"/>
      <c r="B13" s="103"/>
      <c r="C13" s="770"/>
      <c r="D13" s="729"/>
      <c r="E13" s="739"/>
      <c r="F13" s="807" t="str">
        <f t="shared" si="0"/>
        <v>----</v>
      </c>
      <c r="G13" s="739"/>
      <c r="H13" s="807" t="str">
        <f t="shared" si="1"/>
        <v>----</v>
      </c>
      <c r="I13" s="734"/>
      <c r="J13" s="808" t="str">
        <f t="shared" si="2"/>
        <v>----</v>
      </c>
    </row>
    <row r="14" spans="1:11">
      <c r="A14" s="102"/>
      <c r="B14" s="103"/>
      <c r="C14" s="770"/>
      <c r="D14" s="729"/>
      <c r="E14" s="739"/>
      <c r="F14" s="807" t="str">
        <f t="shared" si="0"/>
        <v>----</v>
      </c>
      <c r="G14" s="739"/>
      <c r="H14" s="807" t="str">
        <f t="shared" si="1"/>
        <v>----</v>
      </c>
      <c r="I14" s="734"/>
      <c r="J14" s="808" t="str">
        <f t="shared" si="2"/>
        <v>----</v>
      </c>
    </row>
    <row r="15" spans="1:11">
      <c r="A15" s="102"/>
      <c r="B15" s="103"/>
      <c r="C15" s="770"/>
      <c r="D15" s="729"/>
      <c r="E15" s="739"/>
      <c r="F15" s="807" t="str">
        <f t="shared" si="0"/>
        <v>----</v>
      </c>
      <c r="G15" s="739"/>
      <c r="H15" s="807" t="str">
        <f t="shared" si="1"/>
        <v>----</v>
      </c>
      <c r="I15" s="734"/>
      <c r="J15" s="808" t="str">
        <f t="shared" si="2"/>
        <v>----</v>
      </c>
    </row>
    <row r="16" spans="1:11">
      <c r="A16" s="102"/>
      <c r="B16" s="103"/>
      <c r="C16" s="770"/>
      <c r="D16" s="729"/>
      <c r="E16" s="739"/>
      <c r="F16" s="807" t="str">
        <f t="shared" si="0"/>
        <v>----</v>
      </c>
      <c r="G16" s="739"/>
      <c r="H16" s="807" t="str">
        <f t="shared" si="1"/>
        <v>----</v>
      </c>
      <c r="I16" s="734"/>
      <c r="J16" s="808" t="str">
        <f t="shared" si="2"/>
        <v>----</v>
      </c>
    </row>
    <row r="17" spans="1:10">
      <c r="A17" s="102"/>
      <c r="B17" s="103"/>
      <c r="C17" s="770"/>
      <c r="D17" s="729"/>
      <c r="E17" s="739"/>
      <c r="F17" s="807" t="str">
        <f t="shared" si="0"/>
        <v>----</v>
      </c>
      <c r="G17" s="739"/>
      <c r="H17" s="807" t="str">
        <f t="shared" si="1"/>
        <v>----</v>
      </c>
      <c r="I17" s="734"/>
      <c r="J17" s="808" t="str">
        <f t="shared" si="2"/>
        <v>----</v>
      </c>
    </row>
    <row r="18" spans="1:10">
      <c r="A18" s="102"/>
      <c r="B18" s="103"/>
      <c r="C18" s="770"/>
      <c r="D18" s="729"/>
      <c r="E18" s="739"/>
      <c r="F18" s="807" t="str">
        <f t="shared" si="0"/>
        <v>----</v>
      </c>
      <c r="G18" s="739"/>
      <c r="H18" s="807" t="str">
        <f t="shared" si="1"/>
        <v>----</v>
      </c>
      <c r="I18" s="734"/>
      <c r="J18" s="808" t="str">
        <f t="shared" si="2"/>
        <v>----</v>
      </c>
    </row>
    <row r="19" spans="1:10">
      <c r="A19" s="102"/>
      <c r="B19" s="103"/>
      <c r="C19" s="770"/>
      <c r="D19" s="729"/>
      <c r="E19" s="739"/>
      <c r="F19" s="807" t="str">
        <f t="shared" si="0"/>
        <v>----</v>
      </c>
      <c r="G19" s="739"/>
      <c r="H19" s="807" t="str">
        <f t="shared" si="1"/>
        <v>----</v>
      </c>
      <c r="I19" s="734"/>
      <c r="J19" s="808" t="str">
        <f t="shared" si="2"/>
        <v>----</v>
      </c>
    </row>
    <row r="20" spans="1:10">
      <c r="A20" s="116"/>
      <c r="B20" s="117"/>
      <c r="C20" s="773"/>
      <c r="D20" s="789"/>
      <c r="E20" s="740"/>
      <c r="F20" s="807" t="str">
        <f t="shared" si="0"/>
        <v>----</v>
      </c>
      <c r="G20" s="740"/>
      <c r="H20" s="807" t="str">
        <f t="shared" si="1"/>
        <v>----</v>
      </c>
      <c r="I20" s="735"/>
      <c r="J20" s="808" t="str">
        <f t="shared" si="2"/>
        <v>----</v>
      </c>
    </row>
    <row r="21" spans="1:10" ht="15.75" thickBot="1">
      <c r="A21" s="74"/>
      <c r="B21" s="75"/>
      <c r="C21" s="783"/>
      <c r="D21" s="790"/>
      <c r="E21" s="796"/>
      <c r="F21" s="801" t="str">
        <f t="shared" si="0"/>
        <v>----</v>
      </c>
      <c r="G21" s="796"/>
      <c r="H21" s="801" t="str">
        <f t="shared" si="1"/>
        <v>----</v>
      </c>
      <c r="I21" s="793"/>
      <c r="J21" s="802" t="str">
        <f t="shared" si="2"/>
        <v>----</v>
      </c>
    </row>
    <row r="22" spans="1:10" ht="15.75" thickBot="1">
      <c r="A22" s="27"/>
      <c r="B22" s="27"/>
      <c r="C22" s="814"/>
      <c r="D22" s="814"/>
      <c r="E22" s="814"/>
      <c r="F22" s="815">
        <f>SUM(F4:F21)</f>
        <v>-105805.71999999986</v>
      </c>
      <c r="G22" s="814"/>
      <c r="H22" s="815">
        <f>SUM(H4:H21)</f>
        <v>0</v>
      </c>
      <c r="I22" s="814"/>
      <c r="J22" s="815">
        <f>SUM(J4:J21)</f>
        <v>46922.20000000007</v>
      </c>
    </row>
  </sheetData>
  <mergeCells count="9">
    <mergeCell ref="A1:J1"/>
    <mergeCell ref="A6:A7"/>
    <mergeCell ref="E2:F2"/>
    <mergeCell ref="I2:J2"/>
    <mergeCell ref="A2:A3"/>
    <mergeCell ref="B2:B3"/>
    <mergeCell ref="C2:C3"/>
    <mergeCell ref="D2:D3"/>
    <mergeCell ref="G2:H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97A99-30DF-4E61-81A6-CE7A7D024A8B}">
  <dimension ref="A1:L21"/>
  <sheetViews>
    <sheetView workbookViewId="0">
      <selection activeCell="L14" sqref="L14"/>
    </sheetView>
  </sheetViews>
  <sheetFormatPr defaultRowHeight="15"/>
  <cols>
    <col min="2" max="2" width="23.5703125" bestFit="1" customWidth="1"/>
    <col min="3" max="3" width="10.7109375" bestFit="1" customWidth="1"/>
    <col min="4" max="4" width="12.140625" customWidth="1"/>
    <col min="5" max="5" width="10.7109375" style="432" bestFit="1" customWidth="1"/>
    <col min="6" max="6" width="12.140625" style="432" customWidth="1"/>
    <col min="7" max="7" width="10.7109375" style="432" bestFit="1" customWidth="1"/>
    <col min="8" max="8" width="12.140625" style="432" customWidth="1"/>
    <col min="9" max="9" width="10.7109375" bestFit="1" customWidth="1"/>
    <col min="10" max="10" width="12.140625" customWidth="1"/>
    <col min="12" max="12" width="11.140625" bestFit="1" customWidth="1"/>
  </cols>
  <sheetData>
    <row r="1" spans="1:12" ht="15.75" thickBot="1">
      <c r="A1" s="952" t="s">
        <v>129</v>
      </c>
      <c r="B1" s="953"/>
      <c r="C1" s="953"/>
      <c r="D1" s="953"/>
      <c r="E1" s="953"/>
      <c r="F1" s="953"/>
      <c r="G1" s="953"/>
      <c r="H1" s="953"/>
      <c r="I1" s="953"/>
      <c r="J1" s="954"/>
    </row>
    <row r="2" spans="1:12" s="432" customFormat="1">
      <c r="A2" s="959" t="s">
        <v>110</v>
      </c>
      <c r="B2" s="961" t="s">
        <v>111</v>
      </c>
      <c r="C2" s="961" t="s">
        <v>112</v>
      </c>
      <c r="D2" s="973" t="s">
        <v>120</v>
      </c>
      <c r="E2" s="957" t="s">
        <v>701</v>
      </c>
      <c r="F2" s="958"/>
      <c r="G2" s="957" t="s">
        <v>702</v>
      </c>
      <c r="H2" s="958"/>
      <c r="I2" s="932" t="s">
        <v>796</v>
      </c>
      <c r="J2" s="933"/>
    </row>
    <row r="3" spans="1:12" ht="57.75" thickBot="1">
      <c r="A3" s="960"/>
      <c r="B3" s="962"/>
      <c r="C3" s="962"/>
      <c r="D3" s="974"/>
      <c r="E3" s="460" t="s">
        <v>121</v>
      </c>
      <c r="F3" s="468" t="s">
        <v>113</v>
      </c>
      <c r="G3" s="460" t="s">
        <v>121</v>
      </c>
      <c r="H3" s="468" t="s">
        <v>113</v>
      </c>
      <c r="I3" s="478" t="s">
        <v>121</v>
      </c>
      <c r="J3" s="25" t="s">
        <v>113</v>
      </c>
    </row>
    <row r="4" spans="1:12">
      <c r="A4" s="93">
        <f>Henry!A4</f>
        <v>43970</v>
      </c>
      <c r="B4" s="94" t="str">
        <f>Henry!B4</f>
        <v>BROS-SWAP-C044(87)--SE-44</v>
      </c>
      <c r="C4" s="95">
        <f>Henry!C4</f>
        <v>320390.63</v>
      </c>
      <c r="D4" s="555">
        <f>Henry!D4</f>
        <v>320390.63</v>
      </c>
      <c r="E4" s="557"/>
      <c r="F4" s="558" t="str">
        <f t="shared" ref="F4:F20" si="0">IF(ISBLANK(E4),"----",E4-D4)</f>
        <v>----</v>
      </c>
      <c r="G4" s="557"/>
      <c r="H4" s="558" t="str">
        <f t="shared" ref="H4:H20" si="1">IF(OR(G4="Complete",ISBLANK(G4)),"----",G4-$D4)</f>
        <v>----</v>
      </c>
      <c r="I4" s="556"/>
      <c r="J4" s="96" t="str">
        <f t="shared" ref="J4:J20" si="2">IF(OR(I4="Complete",ISBLANK(I4)),"----",I4-$D4)</f>
        <v>----</v>
      </c>
      <c r="K4" t="s">
        <v>130</v>
      </c>
    </row>
    <row r="5" spans="1:12">
      <c r="A5" s="88">
        <v>44124</v>
      </c>
      <c r="B5" s="101" t="s">
        <v>316</v>
      </c>
      <c r="C5" s="82">
        <v>636750.65</v>
      </c>
      <c r="D5" s="431">
        <v>199790.65</v>
      </c>
      <c r="E5" s="471"/>
      <c r="F5" s="472" t="str">
        <f t="shared" si="0"/>
        <v>----</v>
      </c>
      <c r="G5" s="471"/>
      <c r="H5" s="472" t="str">
        <f t="shared" si="1"/>
        <v>----</v>
      </c>
      <c r="I5" s="484">
        <f>608999.45-436960</f>
        <v>172039.44999999995</v>
      </c>
      <c r="J5" s="83">
        <f t="shared" si="2"/>
        <v>-27751.200000000041</v>
      </c>
      <c r="K5" t="s">
        <v>422</v>
      </c>
      <c r="L5" s="719">
        <v>436960</v>
      </c>
    </row>
    <row r="6" spans="1:12">
      <c r="A6" s="102">
        <v>44824</v>
      </c>
      <c r="B6" s="103" t="s">
        <v>564</v>
      </c>
      <c r="C6" s="87">
        <v>426853.5</v>
      </c>
      <c r="D6" s="466">
        <f>C6</f>
        <v>426853.5</v>
      </c>
      <c r="E6" s="473">
        <v>429601.15</v>
      </c>
      <c r="F6" s="485">
        <f t="shared" si="0"/>
        <v>2747.6500000000233</v>
      </c>
      <c r="G6" s="473" t="s">
        <v>703</v>
      </c>
      <c r="H6" s="485" t="str">
        <f t="shared" si="1"/>
        <v>----</v>
      </c>
      <c r="I6" s="486" t="s">
        <v>703</v>
      </c>
      <c r="J6" s="115" t="str">
        <f t="shared" si="2"/>
        <v>----</v>
      </c>
    </row>
    <row r="7" spans="1:12">
      <c r="A7" s="102"/>
      <c r="B7" s="103"/>
      <c r="C7" s="87"/>
      <c r="D7" s="466"/>
      <c r="E7" s="473"/>
      <c r="F7" s="485" t="str">
        <f t="shared" si="0"/>
        <v>----</v>
      </c>
      <c r="G7" s="473"/>
      <c r="H7" s="485" t="str">
        <f t="shared" si="1"/>
        <v>----</v>
      </c>
      <c r="I7" s="486"/>
      <c r="J7" s="115" t="str">
        <f t="shared" si="2"/>
        <v>----</v>
      </c>
    </row>
    <row r="8" spans="1:12">
      <c r="A8" s="102"/>
      <c r="B8" s="103"/>
      <c r="C8" s="87"/>
      <c r="D8" s="466"/>
      <c r="E8" s="473"/>
      <c r="F8" s="485" t="str">
        <f t="shared" si="0"/>
        <v>----</v>
      </c>
      <c r="G8" s="473"/>
      <c r="H8" s="485" t="str">
        <f t="shared" si="1"/>
        <v>----</v>
      </c>
      <c r="I8" s="486"/>
      <c r="J8" s="115" t="str">
        <f t="shared" si="2"/>
        <v>----</v>
      </c>
    </row>
    <row r="9" spans="1:12">
      <c r="A9" s="102"/>
      <c r="B9" s="103"/>
      <c r="C9" s="87"/>
      <c r="D9" s="466"/>
      <c r="E9" s="473"/>
      <c r="F9" s="485" t="str">
        <f t="shared" si="0"/>
        <v>----</v>
      </c>
      <c r="G9" s="473"/>
      <c r="H9" s="485" t="str">
        <f t="shared" si="1"/>
        <v>----</v>
      </c>
      <c r="I9" s="486"/>
      <c r="J9" s="115" t="str">
        <f t="shared" si="2"/>
        <v>----</v>
      </c>
    </row>
    <row r="10" spans="1:12">
      <c r="A10" s="102"/>
      <c r="B10" s="103"/>
      <c r="C10" s="87"/>
      <c r="D10" s="466"/>
      <c r="E10" s="473"/>
      <c r="F10" s="485" t="str">
        <f t="shared" si="0"/>
        <v>----</v>
      </c>
      <c r="G10" s="473"/>
      <c r="H10" s="485" t="str">
        <f t="shared" si="1"/>
        <v>----</v>
      </c>
      <c r="I10" s="486"/>
      <c r="J10" s="115" t="str">
        <f t="shared" si="2"/>
        <v>----</v>
      </c>
    </row>
    <row r="11" spans="1:12">
      <c r="A11" s="102"/>
      <c r="B11" s="103"/>
      <c r="C11" s="87"/>
      <c r="D11" s="466"/>
      <c r="E11" s="473"/>
      <c r="F11" s="485" t="str">
        <f t="shared" si="0"/>
        <v>----</v>
      </c>
      <c r="G11" s="473"/>
      <c r="H11" s="485" t="str">
        <f t="shared" si="1"/>
        <v>----</v>
      </c>
      <c r="I11" s="486"/>
      <c r="J11" s="115" t="str">
        <f t="shared" si="2"/>
        <v>----</v>
      </c>
    </row>
    <row r="12" spans="1:12">
      <c r="A12" s="102"/>
      <c r="B12" s="103"/>
      <c r="C12" s="87"/>
      <c r="D12" s="466"/>
      <c r="E12" s="473"/>
      <c r="F12" s="485" t="str">
        <f t="shared" si="0"/>
        <v>----</v>
      </c>
      <c r="G12" s="473"/>
      <c r="H12" s="485" t="str">
        <f t="shared" si="1"/>
        <v>----</v>
      </c>
      <c r="I12" s="486"/>
      <c r="J12" s="115" t="str">
        <f t="shared" si="2"/>
        <v>----</v>
      </c>
    </row>
    <row r="13" spans="1:12">
      <c r="A13" s="102"/>
      <c r="B13" s="103"/>
      <c r="C13" s="87"/>
      <c r="D13" s="466"/>
      <c r="E13" s="473"/>
      <c r="F13" s="485" t="str">
        <f t="shared" si="0"/>
        <v>----</v>
      </c>
      <c r="G13" s="473"/>
      <c r="H13" s="485" t="str">
        <f t="shared" si="1"/>
        <v>----</v>
      </c>
      <c r="I13" s="486"/>
      <c r="J13" s="115" t="str">
        <f t="shared" si="2"/>
        <v>----</v>
      </c>
    </row>
    <row r="14" spans="1:12">
      <c r="A14" s="102"/>
      <c r="B14" s="103"/>
      <c r="C14" s="87"/>
      <c r="D14" s="466"/>
      <c r="E14" s="473"/>
      <c r="F14" s="485" t="str">
        <f t="shared" si="0"/>
        <v>----</v>
      </c>
      <c r="G14" s="473"/>
      <c r="H14" s="485" t="str">
        <f t="shared" si="1"/>
        <v>----</v>
      </c>
      <c r="I14" s="486"/>
      <c r="J14" s="115" t="str">
        <f t="shared" si="2"/>
        <v>----</v>
      </c>
    </row>
    <row r="15" spans="1:12">
      <c r="A15" s="102"/>
      <c r="B15" s="103"/>
      <c r="C15" s="87"/>
      <c r="D15" s="466"/>
      <c r="E15" s="473"/>
      <c r="F15" s="485" t="str">
        <f t="shared" si="0"/>
        <v>----</v>
      </c>
      <c r="G15" s="473"/>
      <c r="H15" s="485" t="str">
        <f t="shared" si="1"/>
        <v>----</v>
      </c>
      <c r="I15" s="486"/>
      <c r="J15" s="115" t="str">
        <f t="shared" si="2"/>
        <v>----</v>
      </c>
    </row>
    <row r="16" spans="1:12">
      <c r="A16" s="102"/>
      <c r="B16" s="103"/>
      <c r="C16" s="87"/>
      <c r="D16" s="466"/>
      <c r="E16" s="473"/>
      <c r="F16" s="485" t="str">
        <f t="shared" si="0"/>
        <v>----</v>
      </c>
      <c r="G16" s="473"/>
      <c r="H16" s="485" t="str">
        <f t="shared" si="1"/>
        <v>----</v>
      </c>
      <c r="I16" s="486"/>
      <c r="J16" s="115" t="str">
        <f t="shared" si="2"/>
        <v>----</v>
      </c>
    </row>
    <row r="17" spans="1:10">
      <c r="A17" s="102"/>
      <c r="B17" s="103"/>
      <c r="C17" s="87"/>
      <c r="D17" s="466"/>
      <c r="E17" s="473"/>
      <c r="F17" s="485" t="str">
        <f t="shared" si="0"/>
        <v>----</v>
      </c>
      <c r="G17" s="473"/>
      <c r="H17" s="485" t="str">
        <f t="shared" si="1"/>
        <v>----</v>
      </c>
      <c r="I17" s="486"/>
      <c r="J17" s="115" t="str">
        <f t="shared" si="2"/>
        <v>----</v>
      </c>
    </row>
    <row r="18" spans="1:10">
      <c r="A18" s="102"/>
      <c r="B18" s="103"/>
      <c r="C18" s="87"/>
      <c r="D18" s="466"/>
      <c r="E18" s="473"/>
      <c r="F18" s="485" t="str">
        <f t="shared" si="0"/>
        <v>----</v>
      </c>
      <c r="G18" s="473"/>
      <c r="H18" s="485" t="str">
        <f t="shared" si="1"/>
        <v>----</v>
      </c>
      <c r="I18" s="486"/>
      <c r="J18" s="115" t="str">
        <f t="shared" si="2"/>
        <v>----</v>
      </c>
    </row>
    <row r="19" spans="1:10">
      <c r="A19" s="116"/>
      <c r="B19" s="117"/>
      <c r="C19" s="118"/>
      <c r="D19" s="467"/>
      <c r="E19" s="474"/>
      <c r="F19" s="487" t="str">
        <f t="shared" si="0"/>
        <v>----</v>
      </c>
      <c r="G19" s="474"/>
      <c r="H19" s="487" t="str">
        <f t="shared" si="1"/>
        <v>----</v>
      </c>
      <c r="I19" s="488"/>
      <c r="J19" s="119" t="str">
        <f t="shared" si="2"/>
        <v>----</v>
      </c>
    </row>
    <row r="20" spans="1:10" ht="15.75" thickBot="1">
      <c r="A20" s="74"/>
      <c r="B20" s="75"/>
      <c r="C20" s="76"/>
      <c r="D20" s="430"/>
      <c r="E20" s="475"/>
      <c r="F20" s="476" t="str">
        <f t="shared" si="0"/>
        <v>----</v>
      </c>
      <c r="G20" s="475"/>
      <c r="H20" s="476" t="str">
        <f t="shared" si="1"/>
        <v>----</v>
      </c>
      <c r="I20" s="481"/>
      <c r="J20" s="77" t="str">
        <f t="shared" si="2"/>
        <v>----</v>
      </c>
    </row>
    <row r="21" spans="1:10" ht="15.75" thickBot="1">
      <c r="A21" s="27"/>
      <c r="B21" s="27"/>
      <c r="C21" s="28"/>
      <c r="D21" s="28"/>
      <c r="E21" s="439"/>
      <c r="F21" s="441">
        <f>SUM(F4:F20)</f>
        <v>2747.6500000000233</v>
      </c>
      <c r="G21" s="439"/>
      <c r="H21" s="441">
        <f>SUM(H4:H20)</f>
        <v>0</v>
      </c>
      <c r="I21" s="28"/>
      <c r="J21" s="69">
        <f>SUM(J4:J20)</f>
        <v>-27751.200000000041</v>
      </c>
    </row>
  </sheetData>
  <mergeCells count="8">
    <mergeCell ref="A1:J1"/>
    <mergeCell ref="I2:J2"/>
    <mergeCell ref="A2:A3"/>
    <mergeCell ref="B2:B3"/>
    <mergeCell ref="C2:C3"/>
    <mergeCell ref="D2:D3"/>
    <mergeCell ref="E2:F2"/>
    <mergeCell ref="G2:H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147CC-B336-4086-8E84-DA36F6DC25B2}">
  <dimension ref="A1:K37"/>
  <sheetViews>
    <sheetView workbookViewId="0">
      <selection activeCell="I6" sqref="I6:I7"/>
    </sheetView>
  </sheetViews>
  <sheetFormatPr defaultRowHeight="15"/>
  <cols>
    <col min="2" max="2" width="22.7109375" bestFit="1" customWidth="1"/>
    <col min="3" max="4" width="12" bestFit="1" customWidth="1"/>
    <col min="5" max="5" width="14.5703125" style="432" customWidth="1"/>
    <col min="6" max="6" width="11.7109375" style="432" customWidth="1"/>
    <col min="7" max="7" width="14.5703125" style="432" customWidth="1"/>
    <col min="8" max="8" width="11.7109375" style="432" customWidth="1"/>
    <col min="9" max="9" width="14.5703125" customWidth="1"/>
    <col min="10" max="10" width="11.7109375" customWidth="1"/>
  </cols>
  <sheetData>
    <row r="1" spans="1:11" ht="14.25" customHeight="1" thickBot="1">
      <c r="A1" s="952" t="s">
        <v>124</v>
      </c>
      <c r="B1" s="953"/>
      <c r="C1" s="953"/>
      <c r="D1" s="953"/>
      <c r="E1" s="953"/>
      <c r="F1" s="953"/>
      <c r="G1" s="953"/>
      <c r="H1" s="953"/>
      <c r="I1" s="953"/>
      <c r="J1" s="954"/>
    </row>
    <row r="2" spans="1:11" s="432" customFormat="1" ht="14.25" customHeight="1">
      <c r="A2" s="959" t="s">
        <v>110</v>
      </c>
      <c r="B2" s="961" t="s">
        <v>111</v>
      </c>
      <c r="C2" s="961" t="s">
        <v>112</v>
      </c>
      <c r="D2" s="963" t="s">
        <v>120</v>
      </c>
      <c r="E2" s="957" t="s">
        <v>701</v>
      </c>
      <c r="F2" s="958"/>
      <c r="G2" s="957" t="s">
        <v>702</v>
      </c>
      <c r="H2" s="958"/>
      <c r="I2" s="932" t="s">
        <v>796</v>
      </c>
      <c r="J2" s="933"/>
    </row>
    <row r="3" spans="1:11" ht="57.75" thickBot="1">
      <c r="A3" s="960"/>
      <c r="B3" s="962"/>
      <c r="C3" s="962"/>
      <c r="D3" s="964"/>
      <c r="E3" s="460" t="s">
        <v>121</v>
      </c>
      <c r="F3" s="468" t="s">
        <v>113</v>
      </c>
      <c r="G3" s="460" t="s">
        <v>121</v>
      </c>
      <c r="H3" s="468" t="s">
        <v>113</v>
      </c>
      <c r="I3" s="478" t="s">
        <v>121</v>
      </c>
      <c r="J3" s="25" t="s">
        <v>113</v>
      </c>
    </row>
    <row r="4" spans="1:11">
      <c r="A4" s="70">
        <v>44180</v>
      </c>
      <c r="B4" s="71" t="s">
        <v>358</v>
      </c>
      <c r="C4" s="72">
        <v>1449876.73</v>
      </c>
      <c r="D4" s="429">
        <f>C4</f>
        <v>1449876.73</v>
      </c>
      <c r="E4" s="469">
        <v>1415481.86</v>
      </c>
      <c r="F4" s="470">
        <f>IF(ISBLANK(E4),"----",E4-$D4)</f>
        <v>-34394.869999999879</v>
      </c>
      <c r="G4" s="469" t="s">
        <v>703</v>
      </c>
      <c r="H4" s="470" t="str">
        <f t="shared" ref="H4:H17" si="0">IF(OR(G4="Complete",ISBLANK(G4)),"----",G4-$D4)</f>
        <v>----</v>
      </c>
      <c r="I4" s="479" t="s">
        <v>703</v>
      </c>
      <c r="J4" s="73" t="str">
        <f t="shared" ref="J4:J17" si="1">IF(OR(I4="Complete",ISBLANK(I4)),"----",I4-$D4)</f>
        <v>----</v>
      </c>
    </row>
    <row r="5" spans="1:11">
      <c r="A5" s="194">
        <v>44216</v>
      </c>
      <c r="B5" s="195" t="s">
        <v>367</v>
      </c>
      <c r="C5" s="196">
        <v>799366.85</v>
      </c>
      <c r="D5" s="489">
        <f>C5</f>
        <v>799366.85</v>
      </c>
      <c r="E5" s="491"/>
      <c r="F5" s="492" t="str">
        <f t="shared" ref="F5:F17" si="2">IF(ISBLANK(E5),"----",E5-$D5)</f>
        <v>----</v>
      </c>
      <c r="G5" s="491"/>
      <c r="H5" s="492" t="str">
        <f t="shared" si="0"/>
        <v>----</v>
      </c>
      <c r="I5" s="490"/>
      <c r="J5" s="197" t="str">
        <f t="shared" si="1"/>
        <v>----</v>
      </c>
      <c r="K5" t="s">
        <v>387</v>
      </c>
    </row>
    <row r="6" spans="1:11">
      <c r="A6" s="102">
        <v>44216</v>
      </c>
      <c r="B6" s="103" t="s">
        <v>368</v>
      </c>
      <c r="C6" s="87">
        <v>700452.45</v>
      </c>
      <c r="D6" s="466">
        <v>326996.01</v>
      </c>
      <c r="E6" s="473">
        <v>316950.78999999998</v>
      </c>
      <c r="F6" s="487">
        <f t="shared" si="2"/>
        <v>-10045.22000000003</v>
      </c>
      <c r="G6" s="473" t="s">
        <v>703</v>
      </c>
      <c r="H6" s="487" t="str">
        <f t="shared" si="0"/>
        <v>----</v>
      </c>
      <c r="I6" s="486" t="s">
        <v>703</v>
      </c>
      <c r="J6" s="119" t="str">
        <f t="shared" si="1"/>
        <v>----</v>
      </c>
    </row>
    <row r="7" spans="1:11">
      <c r="A7" s="102">
        <v>44334</v>
      </c>
      <c r="B7" s="103" t="s">
        <v>367</v>
      </c>
      <c r="C7" s="87">
        <v>808094.85</v>
      </c>
      <c r="D7" s="466">
        <f>C7</f>
        <v>808094.85</v>
      </c>
      <c r="E7" s="473"/>
      <c r="F7" s="487" t="str">
        <f t="shared" si="2"/>
        <v>----</v>
      </c>
      <c r="G7" s="473">
        <v>809813.81</v>
      </c>
      <c r="H7" s="487">
        <f t="shared" si="0"/>
        <v>1718.9600000000792</v>
      </c>
      <c r="I7" s="786" t="s">
        <v>703</v>
      </c>
      <c r="J7" s="119" t="str">
        <f t="shared" si="1"/>
        <v>----</v>
      </c>
    </row>
    <row r="8" spans="1:11">
      <c r="A8" s="102"/>
      <c r="B8" s="103"/>
      <c r="C8" s="87"/>
      <c r="D8" s="466"/>
      <c r="E8" s="473"/>
      <c r="F8" s="487" t="str">
        <f t="shared" si="2"/>
        <v>----</v>
      </c>
      <c r="G8" s="473"/>
      <c r="H8" s="487" t="str">
        <f t="shared" si="0"/>
        <v>----</v>
      </c>
      <c r="I8" s="486"/>
      <c r="J8" s="119" t="str">
        <f t="shared" si="1"/>
        <v>----</v>
      </c>
    </row>
    <row r="9" spans="1:11">
      <c r="A9" s="102"/>
      <c r="B9" s="103"/>
      <c r="C9" s="87"/>
      <c r="D9" s="466"/>
      <c r="E9" s="473"/>
      <c r="F9" s="487" t="str">
        <f t="shared" si="2"/>
        <v>----</v>
      </c>
      <c r="G9" s="473"/>
      <c r="H9" s="487" t="str">
        <f t="shared" si="0"/>
        <v>----</v>
      </c>
      <c r="I9" s="486"/>
      <c r="J9" s="119" t="str">
        <f t="shared" si="1"/>
        <v>----</v>
      </c>
    </row>
    <row r="10" spans="1:11">
      <c r="A10" s="102"/>
      <c r="B10" s="103"/>
      <c r="C10" s="87"/>
      <c r="D10" s="466"/>
      <c r="E10" s="473"/>
      <c r="F10" s="487" t="str">
        <f t="shared" si="2"/>
        <v>----</v>
      </c>
      <c r="G10" s="473"/>
      <c r="H10" s="487" t="str">
        <f t="shared" si="0"/>
        <v>----</v>
      </c>
      <c r="I10" s="486"/>
      <c r="J10" s="119" t="str">
        <f t="shared" si="1"/>
        <v>----</v>
      </c>
    </row>
    <row r="11" spans="1:11">
      <c r="A11" s="102"/>
      <c r="B11" s="103"/>
      <c r="C11" s="87"/>
      <c r="D11" s="466"/>
      <c r="E11" s="473"/>
      <c r="F11" s="487" t="str">
        <f t="shared" si="2"/>
        <v>----</v>
      </c>
      <c r="G11" s="473"/>
      <c r="H11" s="487" t="str">
        <f t="shared" si="0"/>
        <v>----</v>
      </c>
      <c r="I11" s="486"/>
      <c r="J11" s="119" t="str">
        <f t="shared" si="1"/>
        <v>----</v>
      </c>
    </row>
    <row r="12" spans="1:11">
      <c r="A12" s="102"/>
      <c r="B12" s="103"/>
      <c r="C12" s="87"/>
      <c r="D12" s="466"/>
      <c r="E12" s="473"/>
      <c r="F12" s="487" t="str">
        <f t="shared" si="2"/>
        <v>----</v>
      </c>
      <c r="G12" s="473"/>
      <c r="H12" s="487" t="str">
        <f t="shared" si="0"/>
        <v>----</v>
      </c>
      <c r="I12" s="486"/>
      <c r="J12" s="119" t="str">
        <f t="shared" si="1"/>
        <v>----</v>
      </c>
    </row>
    <row r="13" spans="1:11">
      <c r="A13" s="102"/>
      <c r="B13" s="103"/>
      <c r="C13" s="87"/>
      <c r="D13" s="466"/>
      <c r="E13" s="473"/>
      <c r="F13" s="487" t="str">
        <f t="shared" si="2"/>
        <v>----</v>
      </c>
      <c r="G13" s="473"/>
      <c r="H13" s="487" t="str">
        <f t="shared" si="0"/>
        <v>----</v>
      </c>
      <c r="I13" s="486"/>
      <c r="J13" s="119" t="str">
        <f t="shared" si="1"/>
        <v>----</v>
      </c>
    </row>
    <row r="14" spans="1:11">
      <c r="A14" s="102"/>
      <c r="B14" s="103"/>
      <c r="C14" s="87"/>
      <c r="D14" s="466"/>
      <c r="E14" s="473"/>
      <c r="F14" s="487" t="str">
        <f t="shared" si="2"/>
        <v>----</v>
      </c>
      <c r="G14" s="473"/>
      <c r="H14" s="487" t="str">
        <f t="shared" si="0"/>
        <v>----</v>
      </c>
      <c r="I14" s="486"/>
      <c r="J14" s="119" t="str">
        <f t="shared" si="1"/>
        <v>----</v>
      </c>
    </row>
    <row r="15" spans="1:11">
      <c r="A15" s="102"/>
      <c r="B15" s="103"/>
      <c r="C15" s="87"/>
      <c r="D15" s="466"/>
      <c r="E15" s="473"/>
      <c r="F15" s="487" t="str">
        <f t="shared" si="2"/>
        <v>----</v>
      </c>
      <c r="G15" s="473"/>
      <c r="H15" s="487" t="str">
        <f t="shared" si="0"/>
        <v>----</v>
      </c>
      <c r="I15" s="486"/>
      <c r="J15" s="119" t="str">
        <f t="shared" si="1"/>
        <v>----</v>
      </c>
    </row>
    <row r="16" spans="1:11">
      <c r="A16" s="116"/>
      <c r="B16" s="117"/>
      <c r="C16" s="118"/>
      <c r="D16" s="467"/>
      <c r="E16" s="474"/>
      <c r="F16" s="487" t="str">
        <f t="shared" si="2"/>
        <v>----</v>
      </c>
      <c r="G16" s="474"/>
      <c r="H16" s="487" t="str">
        <f t="shared" si="0"/>
        <v>----</v>
      </c>
      <c r="I16" s="488"/>
      <c r="J16" s="119" t="str">
        <f t="shared" si="1"/>
        <v>----</v>
      </c>
    </row>
    <row r="17" spans="1:11" ht="15.75" thickBot="1">
      <c r="A17" s="74"/>
      <c r="B17" s="75"/>
      <c r="C17" s="76"/>
      <c r="D17" s="430"/>
      <c r="E17" s="475"/>
      <c r="F17" s="476" t="str">
        <f t="shared" si="2"/>
        <v>----</v>
      </c>
      <c r="G17" s="475"/>
      <c r="H17" s="476" t="str">
        <f t="shared" si="0"/>
        <v>----</v>
      </c>
      <c r="I17" s="481"/>
      <c r="J17" s="77" t="str">
        <f t="shared" si="1"/>
        <v>----</v>
      </c>
    </row>
    <row r="18" spans="1:11" ht="15.75" thickBot="1">
      <c r="A18" s="27"/>
      <c r="B18" s="27"/>
      <c r="C18" s="28"/>
      <c r="D18" s="28"/>
      <c r="E18" s="439"/>
      <c r="F18" s="441">
        <f>SUM(F4:F17)</f>
        <v>-44440.089999999909</v>
      </c>
      <c r="G18" s="439"/>
      <c r="H18" s="441">
        <f>SUM(H4:H17)</f>
        <v>1718.9600000000792</v>
      </c>
      <c r="I18" s="28"/>
      <c r="J18" s="69">
        <f>SUM(J4:J17)</f>
        <v>0</v>
      </c>
      <c r="K18" s="17"/>
    </row>
    <row r="19" spans="1:11">
      <c r="A19" s="17"/>
      <c r="B19" s="17"/>
      <c r="C19" s="20"/>
      <c r="D19" s="20"/>
      <c r="E19" s="435"/>
      <c r="F19" s="435"/>
      <c r="G19" s="435"/>
      <c r="H19" s="435"/>
      <c r="I19" s="20"/>
      <c r="J19" s="20"/>
      <c r="K19" s="17"/>
    </row>
    <row r="20" spans="1:11">
      <c r="A20" s="17"/>
      <c r="B20" s="17"/>
      <c r="C20" s="20"/>
      <c r="D20" s="20"/>
      <c r="E20" s="435"/>
      <c r="F20" s="435"/>
      <c r="G20" s="435"/>
      <c r="H20" s="435"/>
      <c r="I20" s="20"/>
      <c r="J20" s="20"/>
      <c r="K20" s="17"/>
    </row>
    <row r="21" spans="1:11">
      <c r="A21" s="17"/>
      <c r="B21" s="17"/>
      <c r="C21" s="20"/>
      <c r="D21" s="20"/>
      <c r="E21" s="435"/>
      <c r="F21" s="435"/>
      <c r="G21" s="435"/>
      <c r="H21" s="435"/>
      <c r="I21" s="20"/>
      <c r="J21" s="20"/>
      <c r="K21" s="17"/>
    </row>
    <row r="22" spans="1:11">
      <c r="A22" s="17"/>
      <c r="B22" s="17"/>
      <c r="C22" s="20"/>
      <c r="D22" s="20"/>
      <c r="E22" s="435"/>
      <c r="F22" s="435"/>
      <c r="G22" s="435"/>
      <c r="H22" s="435"/>
      <c r="I22" s="20"/>
      <c r="J22" s="20"/>
      <c r="K22" s="17"/>
    </row>
    <row r="23" spans="1:11">
      <c r="A23" s="17"/>
      <c r="B23" s="17"/>
      <c r="C23" s="20"/>
      <c r="D23" s="20"/>
      <c r="E23" s="435"/>
      <c r="F23" s="435"/>
      <c r="G23" s="435"/>
      <c r="H23" s="435"/>
      <c r="I23" s="20"/>
      <c r="J23" s="20"/>
      <c r="K23" s="17"/>
    </row>
    <row r="24" spans="1:11">
      <c r="A24" s="17"/>
      <c r="B24" s="17"/>
      <c r="C24" s="20"/>
      <c r="D24" s="20"/>
      <c r="E24" s="435"/>
      <c r="F24" s="435"/>
      <c r="G24" s="435"/>
      <c r="H24" s="435"/>
      <c r="I24" s="20"/>
      <c r="J24" s="20"/>
      <c r="K24" s="17"/>
    </row>
    <row r="25" spans="1:11">
      <c r="A25" s="17"/>
      <c r="B25" s="17"/>
      <c r="C25" s="20"/>
      <c r="D25" s="20"/>
      <c r="E25" s="435"/>
      <c r="F25" s="435"/>
      <c r="G25" s="435"/>
      <c r="H25" s="435"/>
      <c r="I25" s="20"/>
      <c r="J25" s="20"/>
      <c r="K25" s="17"/>
    </row>
    <row r="26" spans="1:11">
      <c r="A26" s="17"/>
      <c r="B26" s="17"/>
      <c r="C26" s="20"/>
      <c r="D26" s="20"/>
      <c r="E26" s="435"/>
      <c r="F26" s="435"/>
      <c r="G26" s="435"/>
      <c r="H26" s="435"/>
      <c r="I26" s="20"/>
      <c r="J26" s="20"/>
      <c r="K26" s="17"/>
    </row>
    <row r="27" spans="1:11">
      <c r="A27" s="17"/>
      <c r="B27" s="17"/>
      <c r="C27" s="20"/>
      <c r="D27" s="20"/>
      <c r="E27" s="435"/>
      <c r="F27" s="435"/>
      <c r="G27" s="435"/>
      <c r="H27" s="435"/>
      <c r="I27" s="20"/>
      <c r="J27" s="20"/>
      <c r="K27" s="17"/>
    </row>
    <row r="28" spans="1:11">
      <c r="A28" s="17"/>
      <c r="B28" s="17"/>
      <c r="C28" s="20"/>
      <c r="D28" s="20"/>
      <c r="E28" s="435"/>
      <c r="F28" s="435"/>
      <c r="G28" s="435"/>
      <c r="H28" s="435"/>
      <c r="I28" s="20"/>
      <c r="J28" s="20"/>
      <c r="K28" s="17"/>
    </row>
    <row r="29" spans="1:11">
      <c r="A29" s="17"/>
      <c r="B29" s="17"/>
      <c r="C29" s="20"/>
      <c r="D29" s="20"/>
      <c r="E29" s="435"/>
      <c r="F29" s="435"/>
      <c r="G29" s="435"/>
      <c r="H29" s="435"/>
      <c r="I29" s="20"/>
      <c r="J29" s="20"/>
      <c r="K29" s="17"/>
    </row>
    <row r="30" spans="1:11">
      <c r="A30" s="17"/>
      <c r="B30" s="17"/>
      <c r="C30" s="20"/>
      <c r="D30" s="20"/>
      <c r="E30" s="435"/>
      <c r="F30" s="435"/>
      <c r="G30" s="435"/>
      <c r="H30" s="435"/>
      <c r="I30" s="20"/>
      <c r="J30" s="20"/>
      <c r="K30" s="17"/>
    </row>
    <row r="31" spans="1:11">
      <c r="A31" s="17"/>
      <c r="B31" s="17"/>
      <c r="C31" s="20"/>
      <c r="D31" s="20"/>
      <c r="E31" s="435"/>
      <c r="F31" s="435"/>
      <c r="G31" s="435"/>
      <c r="H31" s="435"/>
      <c r="I31" s="20"/>
      <c r="J31" s="20"/>
      <c r="K31" s="17"/>
    </row>
    <row r="32" spans="1:11">
      <c r="A32" s="17"/>
      <c r="B32" s="17"/>
      <c r="C32" s="20"/>
      <c r="D32" s="20"/>
      <c r="E32" s="435"/>
      <c r="F32" s="435"/>
      <c r="G32" s="435"/>
      <c r="H32" s="435"/>
      <c r="I32" s="20"/>
      <c r="J32" s="20"/>
      <c r="K32" s="17"/>
    </row>
    <row r="33" spans="1:11">
      <c r="A33" s="17"/>
      <c r="B33" s="17"/>
      <c r="C33" s="20"/>
      <c r="D33" s="20"/>
      <c r="E33" s="435"/>
      <c r="F33" s="435"/>
      <c r="G33" s="435"/>
      <c r="H33" s="435"/>
      <c r="I33" s="20"/>
      <c r="J33" s="20"/>
      <c r="K33" s="17"/>
    </row>
    <row r="34" spans="1:11">
      <c r="C34" s="21"/>
      <c r="D34" s="21"/>
      <c r="E34" s="436"/>
      <c r="F34" s="436"/>
      <c r="G34" s="436"/>
      <c r="H34" s="436"/>
      <c r="I34" s="21"/>
      <c r="J34" s="21"/>
    </row>
    <row r="35" spans="1:11">
      <c r="C35" s="21"/>
      <c r="D35" s="21"/>
      <c r="E35" s="436"/>
      <c r="F35" s="436"/>
      <c r="G35" s="436"/>
      <c r="H35" s="436"/>
      <c r="I35" s="21"/>
      <c r="J35" s="21"/>
    </row>
    <row r="36" spans="1:11">
      <c r="C36" s="22"/>
      <c r="D36" s="22"/>
      <c r="E36" s="437"/>
      <c r="F36" s="437"/>
      <c r="G36" s="437"/>
      <c r="H36" s="437"/>
      <c r="I36" s="22"/>
      <c r="J36" s="22"/>
    </row>
    <row r="37" spans="1:11">
      <c r="C37" s="22"/>
      <c r="D37" s="22"/>
      <c r="E37" s="437"/>
      <c r="F37" s="437"/>
      <c r="G37" s="437"/>
      <c r="H37" s="437"/>
      <c r="I37" s="22"/>
      <c r="J37" s="22"/>
    </row>
  </sheetData>
  <mergeCells count="8">
    <mergeCell ref="A1:J1"/>
    <mergeCell ref="A2:A3"/>
    <mergeCell ref="B2:B3"/>
    <mergeCell ref="C2:C3"/>
    <mergeCell ref="D2:D3"/>
    <mergeCell ref="E2:F2"/>
    <mergeCell ref="I2:J2"/>
    <mergeCell ref="G2:H2"/>
  </mergeCells>
  <pageMargins left="0.7" right="0.7" top="0.75" bottom="0.75" header="0.3" footer="0.3"/>
  <pageSetup orientation="portrait" horizontalDpi="1200" verticalDpi="1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58053-61E3-4A43-947D-CFCDB9F33FBD}">
  <dimension ref="A1:J22"/>
  <sheetViews>
    <sheetView workbookViewId="0">
      <selection activeCell="I6" sqref="I6"/>
    </sheetView>
  </sheetViews>
  <sheetFormatPr defaultRowHeight="15"/>
  <cols>
    <col min="2" max="2" width="22.42578125" bestFit="1" customWidth="1"/>
    <col min="3" max="3" width="10.7109375" bestFit="1" customWidth="1"/>
    <col min="4" max="4" width="10.5703125" customWidth="1"/>
    <col min="5" max="5" width="10.7109375" style="432" bestFit="1" customWidth="1"/>
    <col min="6" max="6" width="13.140625" style="432" customWidth="1"/>
    <col min="7" max="7" width="10.7109375" style="432" bestFit="1" customWidth="1"/>
    <col min="8" max="8" width="13.140625" style="432" customWidth="1"/>
    <col min="9" max="9" width="10.7109375" bestFit="1" customWidth="1"/>
    <col min="10" max="10" width="13.140625" customWidth="1"/>
  </cols>
  <sheetData>
    <row r="1" spans="1:10" ht="15.75" thickBot="1">
      <c r="A1" s="952" t="s">
        <v>186</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46.5" thickBot="1">
      <c r="A3" s="960"/>
      <c r="B3" s="962"/>
      <c r="C3" s="962"/>
      <c r="D3" s="974"/>
      <c r="E3" s="460" t="s">
        <v>121</v>
      </c>
      <c r="F3" s="468" t="s">
        <v>113</v>
      </c>
      <c r="G3" s="460" t="s">
        <v>121</v>
      </c>
      <c r="H3" s="468" t="s">
        <v>113</v>
      </c>
      <c r="I3" s="478" t="s">
        <v>121</v>
      </c>
      <c r="J3" s="25" t="s">
        <v>113</v>
      </c>
    </row>
    <row r="4" spans="1:10">
      <c r="A4" s="70">
        <v>43852</v>
      </c>
      <c r="B4" s="71" t="s">
        <v>195</v>
      </c>
      <c r="C4" s="72">
        <v>648175.25</v>
      </c>
      <c r="D4" s="429">
        <f>C4</f>
        <v>648175.25</v>
      </c>
      <c r="E4" s="469">
        <v>654579.03</v>
      </c>
      <c r="F4" s="470">
        <f t="shared" ref="F4:F21" si="0">IF(ISBLANK(E4),"----",E4-D4)</f>
        <v>6403.7800000000279</v>
      </c>
      <c r="G4" s="469" t="s">
        <v>703</v>
      </c>
      <c r="H4" s="470" t="str">
        <f t="shared" ref="H4:H21" si="1">IF(OR(G4="Complete",ISBLANK(G4)),"----",G4-$D4)</f>
        <v>----</v>
      </c>
      <c r="I4" s="479" t="s">
        <v>703</v>
      </c>
      <c r="J4" s="73" t="str">
        <f t="shared" ref="J4:J21" si="2">IF(OR(I4="Complete",ISBLANK(I4)),"----",I4-$D4)</f>
        <v>----</v>
      </c>
    </row>
    <row r="5" spans="1:10">
      <c r="A5" s="91">
        <v>44944</v>
      </c>
      <c r="B5" s="92" t="s">
        <v>631</v>
      </c>
      <c r="C5" s="84">
        <v>210874</v>
      </c>
      <c r="D5" s="477">
        <f>C5</f>
        <v>210874</v>
      </c>
      <c r="E5" s="482"/>
      <c r="F5" s="521" t="str">
        <f t="shared" si="0"/>
        <v>----</v>
      </c>
      <c r="G5" s="482">
        <v>209628.4</v>
      </c>
      <c r="H5" s="521">
        <f t="shared" si="1"/>
        <v>-1245.6000000000058</v>
      </c>
      <c r="I5" s="480" t="s">
        <v>703</v>
      </c>
      <c r="J5" s="140" t="str">
        <f t="shared" si="2"/>
        <v>----</v>
      </c>
    </row>
    <row r="6" spans="1:10">
      <c r="A6" s="102">
        <v>45433</v>
      </c>
      <c r="B6" s="450" t="s">
        <v>753</v>
      </c>
      <c r="C6" s="370">
        <v>349183.4</v>
      </c>
      <c r="D6" s="466">
        <f>C6</f>
        <v>349183.4</v>
      </c>
      <c r="E6" s="473"/>
      <c r="F6" s="521" t="str">
        <f t="shared" si="0"/>
        <v>----</v>
      </c>
      <c r="G6" s="473"/>
      <c r="H6" s="521" t="str">
        <f t="shared" si="1"/>
        <v>----</v>
      </c>
      <c r="I6" s="486"/>
      <c r="J6" s="140" t="str">
        <f t="shared" si="2"/>
        <v>----</v>
      </c>
    </row>
    <row r="7" spans="1:10">
      <c r="A7" s="102"/>
      <c r="B7" s="103"/>
      <c r="C7" s="87"/>
      <c r="D7" s="466"/>
      <c r="E7" s="473"/>
      <c r="F7" s="521" t="str">
        <f t="shared" si="0"/>
        <v>----</v>
      </c>
      <c r="G7" s="473"/>
      <c r="H7" s="521" t="str">
        <f t="shared" si="1"/>
        <v>----</v>
      </c>
      <c r="I7" s="486"/>
      <c r="J7" s="140" t="str">
        <f t="shared" si="2"/>
        <v>----</v>
      </c>
    </row>
    <row r="8" spans="1:10">
      <c r="A8" s="102"/>
      <c r="B8" s="103"/>
      <c r="C8" s="87"/>
      <c r="D8" s="466"/>
      <c r="E8" s="473"/>
      <c r="F8" s="521" t="str">
        <f t="shared" si="0"/>
        <v>----</v>
      </c>
      <c r="G8" s="473"/>
      <c r="H8" s="521" t="str">
        <f t="shared" si="1"/>
        <v>----</v>
      </c>
      <c r="I8" s="486"/>
      <c r="J8" s="140" t="str">
        <f t="shared" si="2"/>
        <v>----</v>
      </c>
    </row>
    <row r="9" spans="1:10">
      <c r="A9" s="102"/>
      <c r="B9" s="103"/>
      <c r="C9" s="87"/>
      <c r="D9" s="466"/>
      <c r="E9" s="473"/>
      <c r="F9" s="521" t="str">
        <f t="shared" si="0"/>
        <v>----</v>
      </c>
      <c r="G9" s="473"/>
      <c r="H9" s="521" t="str">
        <f t="shared" si="1"/>
        <v>----</v>
      </c>
      <c r="I9" s="486"/>
      <c r="J9" s="140" t="str">
        <f t="shared" si="2"/>
        <v>----</v>
      </c>
    </row>
    <row r="10" spans="1:10">
      <c r="A10" s="102"/>
      <c r="B10" s="103"/>
      <c r="C10" s="87"/>
      <c r="D10" s="466"/>
      <c r="E10" s="473"/>
      <c r="F10" s="521" t="str">
        <f t="shared" si="0"/>
        <v>----</v>
      </c>
      <c r="G10" s="473"/>
      <c r="H10" s="521" t="str">
        <f t="shared" si="1"/>
        <v>----</v>
      </c>
      <c r="I10" s="486"/>
      <c r="J10" s="140" t="str">
        <f t="shared" si="2"/>
        <v>----</v>
      </c>
    </row>
    <row r="11" spans="1:10">
      <c r="A11" s="102"/>
      <c r="B11" s="103"/>
      <c r="C11" s="87"/>
      <c r="D11" s="466"/>
      <c r="E11" s="473"/>
      <c r="F11" s="521" t="str">
        <f t="shared" si="0"/>
        <v>----</v>
      </c>
      <c r="G11" s="473"/>
      <c r="H11" s="521" t="str">
        <f t="shared" si="1"/>
        <v>----</v>
      </c>
      <c r="I11" s="486"/>
      <c r="J11" s="140" t="str">
        <f t="shared" si="2"/>
        <v>----</v>
      </c>
    </row>
    <row r="12" spans="1:10">
      <c r="A12" s="102"/>
      <c r="B12" s="103"/>
      <c r="C12" s="87"/>
      <c r="D12" s="466"/>
      <c r="E12" s="473"/>
      <c r="F12" s="521" t="str">
        <f t="shared" si="0"/>
        <v>----</v>
      </c>
      <c r="G12" s="473"/>
      <c r="H12" s="521" t="str">
        <f t="shared" si="1"/>
        <v>----</v>
      </c>
      <c r="I12" s="486"/>
      <c r="J12" s="140" t="str">
        <f t="shared" si="2"/>
        <v>----</v>
      </c>
    </row>
    <row r="13" spans="1:10">
      <c r="A13" s="102"/>
      <c r="B13" s="103"/>
      <c r="C13" s="87"/>
      <c r="D13" s="466"/>
      <c r="E13" s="473"/>
      <c r="F13" s="521" t="str">
        <f t="shared" si="0"/>
        <v>----</v>
      </c>
      <c r="G13" s="473"/>
      <c r="H13" s="521" t="str">
        <f t="shared" si="1"/>
        <v>----</v>
      </c>
      <c r="I13" s="486"/>
      <c r="J13" s="140" t="str">
        <f t="shared" si="2"/>
        <v>----</v>
      </c>
    </row>
    <row r="14" spans="1:10">
      <c r="A14" s="102"/>
      <c r="B14" s="103"/>
      <c r="C14" s="87"/>
      <c r="D14" s="466"/>
      <c r="E14" s="473"/>
      <c r="F14" s="521" t="str">
        <f t="shared" si="0"/>
        <v>----</v>
      </c>
      <c r="G14" s="473"/>
      <c r="H14" s="521" t="str">
        <f t="shared" si="1"/>
        <v>----</v>
      </c>
      <c r="I14" s="486"/>
      <c r="J14" s="140" t="str">
        <f t="shared" si="2"/>
        <v>----</v>
      </c>
    </row>
    <row r="15" spans="1:10">
      <c r="A15" s="102"/>
      <c r="B15" s="103"/>
      <c r="C15" s="87"/>
      <c r="D15" s="466"/>
      <c r="E15" s="473"/>
      <c r="F15" s="521" t="str">
        <f t="shared" si="0"/>
        <v>----</v>
      </c>
      <c r="G15" s="473"/>
      <c r="H15" s="521" t="str">
        <f t="shared" si="1"/>
        <v>----</v>
      </c>
      <c r="I15" s="486"/>
      <c r="J15" s="140" t="str">
        <f t="shared" si="2"/>
        <v>----</v>
      </c>
    </row>
    <row r="16" spans="1:10">
      <c r="A16" s="102"/>
      <c r="B16" s="103"/>
      <c r="C16" s="87"/>
      <c r="D16" s="466"/>
      <c r="E16" s="473"/>
      <c r="F16" s="521" t="str">
        <f t="shared" si="0"/>
        <v>----</v>
      </c>
      <c r="G16" s="473"/>
      <c r="H16" s="521" t="str">
        <f t="shared" si="1"/>
        <v>----</v>
      </c>
      <c r="I16" s="486"/>
      <c r="J16" s="140" t="str">
        <f t="shared" si="2"/>
        <v>----</v>
      </c>
    </row>
    <row r="17" spans="1:10">
      <c r="A17" s="102"/>
      <c r="B17" s="103"/>
      <c r="C17" s="87"/>
      <c r="D17" s="466"/>
      <c r="E17" s="473"/>
      <c r="F17" s="521" t="str">
        <f t="shared" si="0"/>
        <v>----</v>
      </c>
      <c r="G17" s="473"/>
      <c r="H17" s="521" t="str">
        <f t="shared" si="1"/>
        <v>----</v>
      </c>
      <c r="I17" s="486"/>
      <c r="J17" s="140" t="str">
        <f t="shared" si="2"/>
        <v>----</v>
      </c>
    </row>
    <row r="18" spans="1:10">
      <c r="A18" s="102"/>
      <c r="B18" s="103"/>
      <c r="C18" s="87"/>
      <c r="D18" s="466"/>
      <c r="E18" s="473"/>
      <c r="F18" s="521" t="str">
        <f t="shared" si="0"/>
        <v>----</v>
      </c>
      <c r="G18" s="473"/>
      <c r="H18" s="521" t="str">
        <f t="shared" si="1"/>
        <v>----</v>
      </c>
      <c r="I18" s="486"/>
      <c r="J18" s="140" t="str">
        <f t="shared" si="2"/>
        <v>----</v>
      </c>
    </row>
    <row r="19" spans="1:10">
      <c r="A19" s="102"/>
      <c r="B19" s="103"/>
      <c r="C19" s="87"/>
      <c r="D19" s="466"/>
      <c r="E19" s="473"/>
      <c r="F19" s="521" t="str">
        <f t="shared" si="0"/>
        <v>----</v>
      </c>
      <c r="G19" s="473"/>
      <c r="H19" s="521" t="str">
        <f t="shared" si="1"/>
        <v>----</v>
      </c>
      <c r="I19" s="486"/>
      <c r="J19" s="140" t="str">
        <f t="shared" si="2"/>
        <v>----</v>
      </c>
    </row>
    <row r="20" spans="1:10">
      <c r="A20" s="116"/>
      <c r="B20" s="117"/>
      <c r="C20" s="118"/>
      <c r="D20" s="467"/>
      <c r="E20" s="474"/>
      <c r="F20" s="521" t="str">
        <f t="shared" si="0"/>
        <v>----</v>
      </c>
      <c r="G20" s="474"/>
      <c r="H20" s="521" t="str">
        <f t="shared" si="1"/>
        <v>----</v>
      </c>
      <c r="I20" s="488"/>
      <c r="J20" s="140" t="str">
        <f t="shared" si="2"/>
        <v>----</v>
      </c>
    </row>
    <row r="21" spans="1:10" ht="15.75" thickBot="1">
      <c r="A21" s="74"/>
      <c r="B21" s="75"/>
      <c r="C21" s="76"/>
      <c r="D21" s="430"/>
      <c r="E21" s="475"/>
      <c r="F21" s="476" t="str">
        <f t="shared" si="0"/>
        <v>----</v>
      </c>
      <c r="G21" s="475"/>
      <c r="H21" s="476" t="str">
        <f t="shared" si="1"/>
        <v>----</v>
      </c>
      <c r="I21" s="481"/>
      <c r="J21" s="77" t="str">
        <f t="shared" si="2"/>
        <v>----</v>
      </c>
    </row>
    <row r="22" spans="1:10" ht="15.75" thickBot="1">
      <c r="A22" s="27"/>
      <c r="B22" s="27"/>
      <c r="C22" s="28"/>
      <c r="D22" s="28"/>
      <c r="E22" s="439"/>
      <c r="F22" s="441">
        <f>SUM(F4:F21)</f>
        <v>6403.7800000000279</v>
      </c>
      <c r="G22" s="439"/>
      <c r="H22" s="441">
        <f>SUM(H4:H21)</f>
        <v>-1245.6000000000058</v>
      </c>
      <c r="I22" s="28"/>
      <c r="J22" s="69">
        <f>SUM(J4:J21)</f>
        <v>0</v>
      </c>
    </row>
  </sheetData>
  <mergeCells count="8">
    <mergeCell ref="A1:J1"/>
    <mergeCell ref="I2:J2"/>
    <mergeCell ref="E2:F2"/>
    <mergeCell ref="A2:A3"/>
    <mergeCell ref="B2:B3"/>
    <mergeCell ref="C2:C3"/>
    <mergeCell ref="D2:D3"/>
    <mergeCell ref="G2:H2"/>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E01C7-4640-455C-B54E-8084F1E6850C}">
  <dimension ref="A1:J8"/>
  <sheetViews>
    <sheetView workbookViewId="0">
      <selection activeCell="N22" sqref="N22"/>
    </sheetView>
  </sheetViews>
  <sheetFormatPr defaultRowHeight="15"/>
  <cols>
    <col min="2" max="2" width="21" bestFit="1" customWidth="1"/>
    <col min="3" max="3" width="10" bestFit="1" customWidth="1"/>
    <col min="4" max="4" width="11.5703125" customWidth="1"/>
    <col min="5" max="5" width="10.7109375" style="432" bestFit="1" customWidth="1"/>
    <col min="6" max="6" width="12.140625" style="432" customWidth="1"/>
    <col min="7" max="7" width="10.7109375" style="432" bestFit="1" customWidth="1"/>
    <col min="8" max="8" width="12.140625" style="432" customWidth="1"/>
    <col min="9" max="9" width="10.7109375" bestFit="1" customWidth="1"/>
    <col min="10" max="10" width="12.140625" customWidth="1"/>
  </cols>
  <sheetData>
    <row r="1" spans="1:10" ht="15.75" thickBot="1">
      <c r="A1" s="952" t="s">
        <v>269</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57.75" thickBot="1">
      <c r="A3" s="960"/>
      <c r="B3" s="962"/>
      <c r="C3" s="962"/>
      <c r="D3" s="974"/>
      <c r="E3" s="460" t="s">
        <v>121</v>
      </c>
      <c r="F3" s="468" t="s">
        <v>113</v>
      </c>
      <c r="G3" s="460" t="s">
        <v>121</v>
      </c>
      <c r="H3" s="468" t="s">
        <v>113</v>
      </c>
      <c r="I3" s="478" t="s">
        <v>121</v>
      </c>
      <c r="J3" s="25" t="s">
        <v>113</v>
      </c>
    </row>
    <row r="4" spans="1:10">
      <c r="A4" s="70">
        <v>44061</v>
      </c>
      <c r="B4" s="71" t="s">
        <v>301</v>
      </c>
      <c r="C4" s="104">
        <v>532653.92000000004</v>
      </c>
      <c r="D4" s="530">
        <v>327828.92</v>
      </c>
      <c r="E4" s="469">
        <v>315755.42</v>
      </c>
      <c r="F4" s="470">
        <f>IF(ISBLANK(E4),"----",E4-D4)</f>
        <v>-12073.5</v>
      </c>
      <c r="G4" s="469" t="s">
        <v>703</v>
      </c>
      <c r="H4" s="470" t="str">
        <f>IF(OR(G4="Complete",ISBLANK(G4)),"----",G4-$D4)</f>
        <v>----</v>
      </c>
      <c r="I4" s="479" t="s">
        <v>703</v>
      </c>
      <c r="J4" s="73" t="str">
        <f>IF(OR(I4="Complete",ISBLANK(I4)),"----",I4-$D4)</f>
        <v>----</v>
      </c>
    </row>
    <row r="5" spans="1:10">
      <c r="A5" s="88"/>
      <c r="B5" s="101"/>
      <c r="C5" s="82"/>
      <c r="D5" s="431"/>
      <c r="E5" s="471"/>
      <c r="F5" s="472" t="str">
        <f>IF(ISBLANK(E5),"----",E5-D5)</f>
        <v>----</v>
      </c>
      <c r="G5" s="471"/>
      <c r="H5" s="472" t="str">
        <f>IF(OR(G5="Complete",ISBLANK(G5)),"----",G5-$D5)</f>
        <v>----</v>
      </c>
      <c r="I5" s="484"/>
      <c r="J5" s="83" t="str">
        <f>IF(OR(I5="Complete",ISBLANK(I5)),"----",I5-$D5)</f>
        <v>----</v>
      </c>
    </row>
    <row r="6" spans="1:10">
      <c r="A6" s="91"/>
      <c r="B6" s="92"/>
      <c r="C6" s="84"/>
      <c r="D6" s="477"/>
      <c r="E6" s="482"/>
      <c r="F6" s="483" t="str">
        <f>IF(ISBLANK(E6),"----",E6-D6)</f>
        <v>----</v>
      </c>
      <c r="G6" s="482"/>
      <c r="H6" s="483" t="str">
        <f>IF(OR(G6="Complete",ISBLANK(G6)),"----",G6-$D6)</f>
        <v>----</v>
      </c>
      <c r="I6" s="480"/>
      <c r="J6" s="85" t="str">
        <f>IF(OR(I6="Complete",ISBLANK(I6)),"----",I6-$D6)</f>
        <v>----</v>
      </c>
    </row>
    <row r="7" spans="1:10" ht="15.75" thickBot="1">
      <c r="A7" s="74"/>
      <c r="B7" s="75"/>
      <c r="C7" s="76"/>
      <c r="D7" s="430"/>
      <c r="E7" s="475"/>
      <c r="F7" s="476" t="str">
        <f>IF(ISBLANK(E7),"----",E7-D7)</f>
        <v>----</v>
      </c>
      <c r="G7" s="475"/>
      <c r="H7" s="476" t="str">
        <f>IF(OR(G7="Complete",ISBLANK(G7)),"----",G7-$D7)</f>
        <v>----</v>
      </c>
      <c r="I7" s="481"/>
      <c r="J7" s="77" t="str">
        <f>IF(OR(I7="Complete",ISBLANK(I7)),"----",I7-$D7)</f>
        <v>----</v>
      </c>
    </row>
    <row r="8" spans="1:10" ht="15.75" thickBot="1">
      <c r="A8" s="27"/>
      <c r="B8" s="27"/>
      <c r="C8" s="28"/>
      <c r="D8" s="28"/>
      <c r="E8" s="439"/>
      <c r="F8" s="441">
        <f>SUM(F4:F7)</f>
        <v>-12073.5</v>
      </c>
      <c r="G8" s="439"/>
      <c r="H8" s="441">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B6500-B58E-41AE-AD5F-9F0AAAA38709}">
  <dimension ref="A1:J23"/>
  <sheetViews>
    <sheetView workbookViewId="0">
      <selection activeCell="G2" sqref="G2:H22"/>
    </sheetView>
  </sheetViews>
  <sheetFormatPr defaultRowHeight="15"/>
  <cols>
    <col min="2" max="2" width="21.42578125" bestFit="1" customWidth="1"/>
    <col min="3" max="4" width="10.7109375" bestFit="1" customWidth="1"/>
    <col min="5" max="5" width="10.7109375" style="432" bestFit="1" customWidth="1"/>
    <col min="6" max="6" width="9.140625" style="432"/>
    <col min="7" max="7" width="10.7109375" style="432" bestFit="1" customWidth="1"/>
    <col min="8" max="8" width="9.140625" style="432"/>
    <col min="9" max="9" width="10.7109375" bestFit="1" customWidth="1"/>
  </cols>
  <sheetData>
    <row r="1" spans="1:10" ht="15.75" thickBot="1">
      <c r="A1" s="952" t="s">
        <v>270</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69" thickBot="1">
      <c r="A3" s="960"/>
      <c r="B3" s="962"/>
      <c r="C3" s="962"/>
      <c r="D3" s="974"/>
      <c r="E3" s="460" t="s">
        <v>121</v>
      </c>
      <c r="F3" s="468" t="s">
        <v>113</v>
      </c>
      <c r="G3" s="460" t="s">
        <v>121</v>
      </c>
      <c r="H3" s="468" t="s">
        <v>113</v>
      </c>
      <c r="I3" s="478" t="s">
        <v>121</v>
      </c>
      <c r="J3" s="25" t="s">
        <v>113</v>
      </c>
    </row>
    <row r="4" spans="1:10">
      <c r="A4" s="70">
        <v>44516</v>
      </c>
      <c r="B4" s="71" t="s">
        <v>465</v>
      </c>
      <c r="C4" s="72">
        <v>818380.7</v>
      </c>
      <c r="D4" s="429">
        <f>C4</f>
        <v>818380.7</v>
      </c>
      <c r="E4" s="469">
        <v>822538.46</v>
      </c>
      <c r="F4" s="470">
        <f t="shared" ref="F4:F22" si="0">IF(ISBLANK(E4),"----",E4-D4)</f>
        <v>4157.7600000000093</v>
      </c>
      <c r="G4" s="469" t="s">
        <v>703</v>
      </c>
      <c r="H4" s="470" t="str">
        <f t="shared" ref="H4:H22" si="1">IF(OR(G4="Complete",ISBLANK(G4)),"----",G4-$D4)</f>
        <v>----</v>
      </c>
      <c r="I4" s="479" t="s">
        <v>703</v>
      </c>
      <c r="J4" s="73" t="str">
        <f t="shared" ref="J4:J22" si="2">IF(OR(I4="Complete",ISBLANK(I4)),"----",I4-$D4)</f>
        <v>----</v>
      </c>
    </row>
    <row r="5" spans="1:10">
      <c r="A5" s="88"/>
      <c r="B5" s="101"/>
      <c r="C5" s="82"/>
      <c r="D5" s="431"/>
      <c r="E5" s="471"/>
      <c r="F5" s="472" t="str">
        <f t="shared" si="0"/>
        <v>----</v>
      </c>
      <c r="G5" s="471"/>
      <c r="H5" s="472" t="str">
        <f t="shared" si="1"/>
        <v>----</v>
      </c>
      <c r="I5" s="484"/>
      <c r="J5" s="83" t="str">
        <f t="shared" si="2"/>
        <v>----</v>
      </c>
    </row>
    <row r="6" spans="1:10">
      <c r="A6" s="88"/>
      <c r="B6" s="101"/>
      <c r="C6" s="82"/>
      <c r="D6" s="431"/>
      <c r="E6" s="471"/>
      <c r="F6" s="472" t="str">
        <f t="shared" si="0"/>
        <v>----</v>
      </c>
      <c r="G6" s="471"/>
      <c r="H6" s="472" t="str">
        <f t="shared" si="1"/>
        <v>----</v>
      </c>
      <c r="I6" s="484"/>
      <c r="J6" s="83" t="str">
        <f t="shared" si="2"/>
        <v>----</v>
      </c>
    </row>
    <row r="7" spans="1:10">
      <c r="A7" s="88"/>
      <c r="B7" s="101"/>
      <c r="C7" s="82"/>
      <c r="D7" s="431"/>
      <c r="E7" s="471"/>
      <c r="F7" s="472" t="str">
        <f t="shared" si="0"/>
        <v>----</v>
      </c>
      <c r="G7" s="471"/>
      <c r="H7" s="472" t="str">
        <f t="shared" si="1"/>
        <v>----</v>
      </c>
      <c r="I7" s="484"/>
      <c r="J7" s="83" t="str">
        <f t="shared" si="2"/>
        <v>----</v>
      </c>
    </row>
    <row r="8" spans="1:10">
      <c r="A8" s="88"/>
      <c r="B8" s="101"/>
      <c r="C8" s="82"/>
      <c r="D8" s="431"/>
      <c r="E8" s="471"/>
      <c r="F8" s="472" t="str">
        <f t="shared" si="0"/>
        <v>----</v>
      </c>
      <c r="G8" s="471"/>
      <c r="H8" s="472" t="str">
        <f t="shared" si="1"/>
        <v>----</v>
      </c>
      <c r="I8" s="484"/>
      <c r="J8" s="83" t="str">
        <f t="shared" si="2"/>
        <v>----</v>
      </c>
    </row>
    <row r="9" spans="1:10">
      <c r="A9" s="88"/>
      <c r="B9" s="101"/>
      <c r="C9" s="82"/>
      <c r="D9" s="431"/>
      <c r="E9" s="471"/>
      <c r="F9" s="472" t="str">
        <f t="shared" si="0"/>
        <v>----</v>
      </c>
      <c r="G9" s="471"/>
      <c r="H9" s="472" t="str">
        <f t="shared" si="1"/>
        <v>----</v>
      </c>
      <c r="I9" s="484"/>
      <c r="J9" s="83" t="str">
        <f t="shared" si="2"/>
        <v>----</v>
      </c>
    </row>
    <row r="10" spans="1:10">
      <c r="A10" s="88"/>
      <c r="B10" s="101"/>
      <c r="C10" s="82"/>
      <c r="D10" s="431"/>
      <c r="E10" s="471"/>
      <c r="F10" s="472" t="str">
        <f t="shared" si="0"/>
        <v>----</v>
      </c>
      <c r="G10" s="471"/>
      <c r="H10" s="472" t="str">
        <f t="shared" si="1"/>
        <v>----</v>
      </c>
      <c r="I10" s="484"/>
      <c r="J10" s="83" t="str">
        <f t="shared" si="2"/>
        <v>----</v>
      </c>
    </row>
    <row r="11" spans="1:10">
      <c r="A11" s="88"/>
      <c r="B11" s="101"/>
      <c r="C11" s="82"/>
      <c r="D11" s="431"/>
      <c r="E11" s="471"/>
      <c r="F11" s="472" t="str">
        <f t="shared" si="0"/>
        <v>----</v>
      </c>
      <c r="G11" s="471"/>
      <c r="H11" s="472" t="str">
        <f t="shared" si="1"/>
        <v>----</v>
      </c>
      <c r="I11" s="484"/>
      <c r="J11" s="83" t="str">
        <f t="shared" si="2"/>
        <v>----</v>
      </c>
    </row>
    <row r="12" spans="1:10">
      <c r="A12" s="88"/>
      <c r="B12" s="101"/>
      <c r="C12" s="82"/>
      <c r="D12" s="431"/>
      <c r="E12" s="471"/>
      <c r="F12" s="472" t="str">
        <f t="shared" si="0"/>
        <v>----</v>
      </c>
      <c r="G12" s="471"/>
      <c r="H12" s="472" t="str">
        <f t="shared" si="1"/>
        <v>----</v>
      </c>
      <c r="I12" s="484"/>
      <c r="J12" s="83" t="str">
        <f t="shared" si="2"/>
        <v>----</v>
      </c>
    </row>
    <row r="13" spans="1:10">
      <c r="A13" s="88"/>
      <c r="B13" s="101"/>
      <c r="C13" s="82"/>
      <c r="D13" s="431"/>
      <c r="E13" s="471"/>
      <c r="F13" s="472" t="str">
        <f t="shared" si="0"/>
        <v>----</v>
      </c>
      <c r="G13" s="471"/>
      <c r="H13" s="472" t="str">
        <f t="shared" si="1"/>
        <v>----</v>
      </c>
      <c r="I13" s="484"/>
      <c r="J13" s="83" t="str">
        <f t="shared" si="2"/>
        <v>----</v>
      </c>
    </row>
    <row r="14" spans="1:10">
      <c r="A14" s="88"/>
      <c r="B14" s="101"/>
      <c r="C14" s="82"/>
      <c r="D14" s="431"/>
      <c r="E14" s="471"/>
      <c r="F14" s="472" t="str">
        <f t="shared" si="0"/>
        <v>----</v>
      </c>
      <c r="G14" s="471"/>
      <c r="H14" s="472" t="str">
        <f t="shared" si="1"/>
        <v>----</v>
      </c>
      <c r="I14" s="484"/>
      <c r="J14" s="83" t="str">
        <f t="shared" si="2"/>
        <v>----</v>
      </c>
    </row>
    <row r="15" spans="1:10">
      <c r="A15" s="88"/>
      <c r="B15" s="101"/>
      <c r="C15" s="82"/>
      <c r="D15" s="431"/>
      <c r="E15" s="471"/>
      <c r="F15" s="472" t="str">
        <f t="shared" si="0"/>
        <v>----</v>
      </c>
      <c r="G15" s="471"/>
      <c r="H15" s="472" t="str">
        <f t="shared" si="1"/>
        <v>----</v>
      </c>
      <c r="I15" s="484"/>
      <c r="J15" s="83" t="str">
        <f t="shared" si="2"/>
        <v>----</v>
      </c>
    </row>
    <row r="16" spans="1:10">
      <c r="A16" s="88"/>
      <c r="B16" s="101"/>
      <c r="C16" s="82"/>
      <c r="D16" s="431"/>
      <c r="E16" s="471"/>
      <c r="F16" s="472" t="str">
        <f t="shared" si="0"/>
        <v>----</v>
      </c>
      <c r="G16" s="471"/>
      <c r="H16" s="472" t="str">
        <f t="shared" si="1"/>
        <v>----</v>
      </c>
      <c r="I16" s="484"/>
      <c r="J16" s="83" t="str">
        <f t="shared" si="2"/>
        <v>----</v>
      </c>
    </row>
    <row r="17" spans="1:10">
      <c r="A17" s="88"/>
      <c r="B17" s="101"/>
      <c r="C17" s="82"/>
      <c r="D17" s="431"/>
      <c r="E17" s="471"/>
      <c r="F17" s="472" t="str">
        <f t="shared" si="0"/>
        <v>----</v>
      </c>
      <c r="G17" s="471"/>
      <c r="H17" s="472" t="str">
        <f t="shared" si="1"/>
        <v>----</v>
      </c>
      <c r="I17" s="484"/>
      <c r="J17" s="83" t="str">
        <f t="shared" si="2"/>
        <v>----</v>
      </c>
    </row>
    <row r="18" spans="1:10">
      <c r="A18" s="88"/>
      <c r="B18" s="101"/>
      <c r="C18" s="82"/>
      <c r="D18" s="431"/>
      <c r="E18" s="471"/>
      <c r="F18" s="472" t="str">
        <f t="shared" si="0"/>
        <v>----</v>
      </c>
      <c r="G18" s="471"/>
      <c r="H18" s="472" t="str">
        <f t="shared" si="1"/>
        <v>----</v>
      </c>
      <c r="I18" s="484"/>
      <c r="J18" s="83" t="str">
        <f t="shared" si="2"/>
        <v>----</v>
      </c>
    </row>
    <row r="19" spans="1:10">
      <c r="A19" s="88"/>
      <c r="B19" s="101"/>
      <c r="C19" s="82"/>
      <c r="D19" s="431"/>
      <c r="E19" s="471"/>
      <c r="F19" s="472" t="str">
        <f t="shared" si="0"/>
        <v>----</v>
      </c>
      <c r="G19" s="471"/>
      <c r="H19" s="472" t="str">
        <f t="shared" si="1"/>
        <v>----</v>
      </c>
      <c r="I19" s="484"/>
      <c r="J19" s="83" t="str">
        <f t="shared" si="2"/>
        <v>----</v>
      </c>
    </row>
    <row r="20" spans="1:10">
      <c r="A20" s="88"/>
      <c r="B20" s="101"/>
      <c r="C20" s="82"/>
      <c r="D20" s="431"/>
      <c r="E20" s="471"/>
      <c r="F20" s="472" t="str">
        <f t="shared" si="0"/>
        <v>----</v>
      </c>
      <c r="G20" s="471"/>
      <c r="H20" s="472" t="str">
        <f t="shared" si="1"/>
        <v>----</v>
      </c>
      <c r="I20" s="484"/>
      <c r="J20" s="83" t="str">
        <f t="shared" si="2"/>
        <v>----</v>
      </c>
    </row>
    <row r="21" spans="1:10">
      <c r="A21" s="91"/>
      <c r="B21" s="92"/>
      <c r="C21" s="84"/>
      <c r="D21" s="477"/>
      <c r="E21" s="482"/>
      <c r="F21" s="483" t="str">
        <f t="shared" si="0"/>
        <v>----</v>
      </c>
      <c r="G21" s="482"/>
      <c r="H21" s="483" t="str">
        <f t="shared" si="1"/>
        <v>----</v>
      </c>
      <c r="I21" s="480"/>
      <c r="J21" s="85" t="str">
        <f t="shared" si="2"/>
        <v>----</v>
      </c>
    </row>
    <row r="22" spans="1:10" ht="15.75" thickBot="1">
      <c r="A22" s="74"/>
      <c r="B22" s="75"/>
      <c r="C22" s="76"/>
      <c r="D22" s="430"/>
      <c r="E22" s="475"/>
      <c r="F22" s="476" t="str">
        <f t="shared" si="0"/>
        <v>----</v>
      </c>
      <c r="G22" s="475"/>
      <c r="H22" s="476" t="str">
        <f t="shared" si="1"/>
        <v>----</v>
      </c>
      <c r="I22" s="481"/>
      <c r="J22" s="77" t="str">
        <f t="shared" si="2"/>
        <v>----</v>
      </c>
    </row>
    <row r="23" spans="1:10" ht="15.75" thickBot="1">
      <c r="A23" s="27"/>
      <c r="B23" s="27"/>
      <c r="C23" s="28"/>
      <c r="D23" s="28"/>
      <c r="E23" s="439"/>
      <c r="F23" s="441">
        <f>SUM(F4:F22)</f>
        <v>4157.7600000000093</v>
      </c>
      <c r="G23" s="439"/>
      <c r="H23" s="441">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E706-7CFC-463F-A3DB-B448CCD3B964}">
  <dimension ref="A1:K24"/>
  <sheetViews>
    <sheetView workbookViewId="0">
      <selection activeCell="I7" sqref="I7"/>
    </sheetView>
  </sheetViews>
  <sheetFormatPr defaultRowHeight="15"/>
  <cols>
    <col min="1" max="1" width="9.28515625" bestFit="1" customWidth="1"/>
    <col min="2" max="2" width="22.7109375" bestFit="1" customWidth="1"/>
    <col min="3" max="3" width="12" bestFit="1" customWidth="1"/>
    <col min="4" max="4" width="12.42578125" customWidth="1"/>
    <col min="5" max="5" width="9.140625" style="432"/>
    <col min="6" max="6" width="11" style="432" customWidth="1"/>
    <col min="7" max="7" width="9.140625" style="432"/>
    <col min="8" max="8" width="11" style="432" customWidth="1"/>
    <col min="10" max="10" width="11" customWidth="1"/>
  </cols>
  <sheetData>
    <row r="1" spans="1:11" ht="15.75" thickBot="1">
      <c r="A1" s="952" t="s">
        <v>223</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57.75" thickBot="1">
      <c r="A3" s="960"/>
      <c r="B3" s="962"/>
      <c r="C3" s="962"/>
      <c r="D3" s="974"/>
      <c r="E3" s="460" t="s">
        <v>121</v>
      </c>
      <c r="F3" s="468" t="s">
        <v>113</v>
      </c>
      <c r="G3" s="460" t="s">
        <v>121</v>
      </c>
      <c r="H3" s="468" t="s">
        <v>113</v>
      </c>
      <c r="I3" s="478" t="s">
        <v>121</v>
      </c>
      <c r="J3" s="25" t="s">
        <v>113</v>
      </c>
    </row>
    <row r="4" spans="1:11">
      <c r="A4" s="70">
        <v>43907</v>
      </c>
      <c r="B4" s="71" t="s">
        <v>224</v>
      </c>
      <c r="C4" s="781">
        <v>248501</v>
      </c>
      <c r="D4" s="787">
        <f>147730.97+51069.83</f>
        <v>198800.8</v>
      </c>
      <c r="E4" s="794"/>
      <c r="F4" s="803" t="str">
        <f t="shared" ref="F4:F23" si="0">IF(ISBLANK(E4),"----",E4-D4)</f>
        <v>----</v>
      </c>
      <c r="G4" s="794"/>
      <c r="H4" s="803" t="str">
        <f t="shared" ref="H4:H23" si="1">IF(OR(G4="Complete",ISBLANK(G4)),"----",G4-$D4)</f>
        <v>----</v>
      </c>
      <c r="I4" s="791"/>
      <c r="J4" s="804" t="str">
        <f t="shared" ref="J4:J23" si="2">IF(OR(I4="Complete",ISBLANK(I4)),"----",I4-$D4)</f>
        <v>----</v>
      </c>
    </row>
    <row r="5" spans="1:11">
      <c r="A5" s="88">
        <v>43907</v>
      </c>
      <c r="B5" s="101" t="s">
        <v>225</v>
      </c>
      <c r="C5" s="784">
        <v>246871</v>
      </c>
      <c r="D5" s="788">
        <v>197496.8</v>
      </c>
      <c r="E5" s="795"/>
      <c r="F5" s="807" t="str">
        <f t="shared" si="0"/>
        <v>----</v>
      </c>
      <c r="G5" s="795"/>
      <c r="H5" s="807" t="str">
        <f t="shared" si="1"/>
        <v>----</v>
      </c>
      <c r="I5" s="792"/>
      <c r="J5" s="808" t="str">
        <f t="shared" si="2"/>
        <v>----</v>
      </c>
    </row>
    <row r="6" spans="1:11">
      <c r="A6" s="102">
        <v>44216</v>
      </c>
      <c r="B6" s="103" t="s">
        <v>379</v>
      </c>
      <c r="C6" s="770">
        <v>510741.75</v>
      </c>
      <c r="D6" s="729">
        <v>128401.75</v>
      </c>
      <c r="E6" s="739"/>
      <c r="F6" s="807" t="str">
        <f t="shared" si="0"/>
        <v>----</v>
      </c>
      <c r="G6" s="739"/>
      <c r="H6" s="807" t="str">
        <f t="shared" si="1"/>
        <v>----</v>
      </c>
      <c r="I6" s="734">
        <f>470664.75-382340</f>
        <v>88324.75</v>
      </c>
      <c r="J6" s="808">
        <f t="shared" si="2"/>
        <v>-40077</v>
      </c>
      <c r="K6" t="s">
        <v>900</v>
      </c>
    </row>
    <row r="7" spans="1:11">
      <c r="A7" s="224">
        <v>44397</v>
      </c>
      <c r="B7" s="225" t="s">
        <v>441</v>
      </c>
      <c r="C7" s="861">
        <v>1247520.6000000001</v>
      </c>
      <c r="D7" s="862">
        <f>C7</f>
        <v>1247520.6000000001</v>
      </c>
      <c r="E7" s="863"/>
      <c r="F7" s="864" t="str">
        <f t="shared" si="0"/>
        <v>----</v>
      </c>
      <c r="G7" s="863"/>
      <c r="H7" s="864" t="str">
        <f t="shared" si="1"/>
        <v>----</v>
      </c>
      <c r="I7" s="865"/>
      <c r="J7" s="866" t="str">
        <f t="shared" si="2"/>
        <v>----</v>
      </c>
      <c r="K7" t="s">
        <v>415</v>
      </c>
    </row>
    <row r="8" spans="1:11">
      <c r="A8" s="102">
        <v>44580</v>
      </c>
      <c r="B8" s="103" t="s">
        <v>441</v>
      </c>
      <c r="C8" s="770">
        <v>1345519.35</v>
      </c>
      <c r="D8" s="729">
        <f>C8</f>
        <v>1345519.35</v>
      </c>
      <c r="E8" s="739"/>
      <c r="F8" s="807" t="str">
        <f t="shared" si="0"/>
        <v>----</v>
      </c>
      <c r="G8" s="739"/>
      <c r="H8" s="807" t="str">
        <f t="shared" si="1"/>
        <v>----</v>
      </c>
      <c r="I8" s="734"/>
      <c r="J8" s="808" t="str">
        <f t="shared" si="2"/>
        <v>----</v>
      </c>
    </row>
    <row r="9" spans="1:11">
      <c r="A9" s="102">
        <v>45853</v>
      </c>
      <c r="B9" s="721" t="s">
        <v>891</v>
      </c>
      <c r="C9" s="770">
        <v>505988.6</v>
      </c>
      <c r="D9" s="729">
        <f>C9</f>
        <v>505988.6</v>
      </c>
      <c r="E9" s="739"/>
      <c r="F9" s="807" t="str">
        <f t="shared" si="0"/>
        <v>----</v>
      </c>
      <c r="G9" s="739"/>
      <c r="H9" s="807" t="str">
        <f t="shared" si="1"/>
        <v>----</v>
      </c>
      <c r="I9" s="734"/>
      <c r="J9" s="808" t="str">
        <f t="shared" si="2"/>
        <v>----</v>
      </c>
    </row>
    <row r="10" spans="1:11">
      <c r="A10" s="102"/>
      <c r="B10" s="103"/>
      <c r="C10" s="770"/>
      <c r="D10" s="729"/>
      <c r="E10" s="739"/>
      <c r="F10" s="807" t="str">
        <f t="shared" si="0"/>
        <v>----</v>
      </c>
      <c r="G10" s="739"/>
      <c r="H10" s="807" t="str">
        <f t="shared" si="1"/>
        <v>----</v>
      </c>
      <c r="I10" s="734"/>
      <c r="J10" s="808" t="str">
        <f t="shared" si="2"/>
        <v>----</v>
      </c>
    </row>
    <row r="11" spans="1:11">
      <c r="A11" s="102"/>
      <c r="B11" s="103"/>
      <c r="C11" s="770"/>
      <c r="D11" s="729"/>
      <c r="E11" s="739"/>
      <c r="F11" s="807" t="str">
        <f t="shared" si="0"/>
        <v>----</v>
      </c>
      <c r="G11" s="739"/>
      <c r="H11" s="807" t="str">
        <f t="shared" si="1"/>
        <v>----</v>
      </c>
      <c r="I11" s="734"/>
      <c r="J11" s="808" t="str">
        <f t="shared" si="2"/>
        <v>----</v>
      </c>
    </row>
    <row r="12" spans="1:11">
      <c r="A12" s="102"/>
      <c r="B12" s="103"/>
      <c r="C12" s="770"/>
      <c r="D12" s="729"/>
      <c r="E12" s="739"/>
      <c r="F12" s="807" t="str">
        <f t="shared" si="0"/>
        <v>----</v>
      </c>
      <c r="G12" s="739"/>
      <c r="H12" s="807" t="str">
        <f t="shared" si="1"/>
        <v>----</v>
      </c>
      <c r="I12" s="734"/>
      <c r="J12" s="808" t="str">
        <f t="shared" si="2"/>
        <v>----</v>
      </c>
    </row>
    <row r="13" spans="1:11">
      <c r="A13" s="102"/>
      <c r="B13" s="103"/>
      <c r="C13" s="770"/>
      <c r="D13" s="729"/>
      <c r="E13" s="739"/>
      <c r="F13" s="807" t="str">
        <f t="shared" si="0"/>
        <v>----</v>
      </c>
      <c r="G13" s="739"/>
      <c r="H13" s="807" t="str">
        <f t="shared" si="1"/>
        <v>----</v>
      </c>
      <c r="I13" s="734"/>
      <c r="J13" s="808" t="str">
        <f t="shared" si="2"/>
        <v>----</v>
      </c>
    </row>
    <row r="14" spans="1:11">
      <c r="A14" s="102"/>
      <c r="B14" s="103"/>
      <c r="C14" s="770"/>
      <c r="D14" s="729"/>
      <c r="E14" s="739"/>
      <c r="F14" s="807" t="str">
        <f t="shared" si="0"/>
        <v>----</v>
      </c>
      <c r="G14" s="739"/>
      <c r="H14" s="807" t="str">
        <f t="shared" si="1"/>
        <v>----</v>
      </c>
      <c r="I14" s="734"/>
      <c r="J14" s="808" t="str">
        <f t="shared" si="2"/>
        <v>----</v>
      </c>
    </row>
    <row r="15" spans="1:11">
      <c r="A15" s="102"/>
      <c r="B15" s="103"/>
      <c r="C15" s="770"/>
      <c r="D15" s="729"/>
      <c r="E15" s="739"/>
      <c r="F15" s="807" t="str">
        <f t="shared" si="0"/>
        <v>----</v>
      </c>
      <c r="G15" s="739"/>
      <c r="H15" s="807" t="str">
        <f t="shared" si="1"/>
        <v>----</v>
      </c>
      <c r="I15" s="734"/>
      <c r="J15" s="808" t="str">
        <f t="shared" si="2"/>
        <v>----</v>
      </c>
    </row>
    <row r="16" spans="1:11">
      <c r="A16" s="102"/>
      <c r="B16" s="103"/>
      <c r="C16" s="770"/>
      <c r="D16" s="729"/>
      <c r="E16" s="739"/>
      <c r="F16" s="807" t="str">
        <f t="shared" si="0"/>
        <v>----</v>
      </c>
      <c r="G16" s="739"/>
      <c r="H16" s="807" t="str">
        <f t="shared" si="1"/>
        <v>----</v>
      </c>
      <c r="I16" s="734"/>
      <c r="J16" s="808" t="str">
        <f t="shared" si="2"/>
        <v>----</v>
      </c>
    </row>
    <row r="17" spans="1:10">
      <c r="A17" s="102"/>
      <c r="B17" s="103"/>
      <c r="C17" s="770"/>
      <c r="D17" s="729"/>
      <c r="E17" s="739"/>
      <c r="F17" s="807" t="str">
        <f t="shared" si="0"/>
        <v>----</v>
      </c>
      <c r="G17" s="739"/>
      <c r="H17" s="807" t="str">
        <f t="shared" si="1"/>
        <v>----</v>
      </c>
      <c r="I17" s="734"/>
      <c r="J17" s="808" t="str">
        <f t="shared" si="2"/>
        <v>----</v>
      </c>
    </row>
    <row r="18" spans="1:10">
      <c r="A18" s="102"/>
      <c r="B18" s="103"/>
      <c r="C18" s="770"/>
      <c r="D18" s="729"/>
      <c r="E18" s="739"/>
      <c r="F18" s="807" t="str">
        <f t="shared" si="0"/>
        <v>----</v>
      </c>
      <c r="G18" s="739"/>
      <c r="H18" s="807" t="str">
        <f t="shared" si="1"/>
        <v>----</v>
      </c>
      <c r="I18" s="734"/>
      <c r="J18" s="808" t="str">
        <f t="shared" si="2"/>
        <v>----</v>
      </c>
    </row>
    <row r="19" spans="1:10">
      <c r="A19" s="102"/>
      <c r="B19" s="103"/>
      <c r="C19" s="770"/>
      <c r="D19" s="729"/>
      <c r="E19" s="739"/>
      <c r="F19" s="807" t="str">
        <f t="shared" si="0"/>
        <v>----</v>
      </c>
      <c r="G19" s="739"/>
      <c r="H19" s="807" t="str">
        <f t="shared" si="1"/>
        <v>----</v>
      </c>
      <c r="I19" s="734"/>
      <c r="J19" s="808" t="str">
        <f t="shared" si="2"/>
        <v>----</v>
      </c>
    </row>
    <row r="20" spans="1:10">
      <c r="A20" s="102"/>
      <c r="B20" s="103"/>
      <c r="C20" s="770"/>
      <c r="D20" s="729"/>
      <c r="E20" s="739"/>
      <c r="F20" s="807" t="str">
        <f t="shared" si="0"/>
        <v>----</v>
      </c>
      <c r="G20" s="739"/>
      <c r="H20" s="807" t="str">
        <f t="shared" si="1"/>
        <v>----</v>
      </c>
      <c r="I20" s="734"/>
      <c r="J20" s="808" t="str">
        <f t="shared" si="2"/>
        <v>----</v>
      </c>
    </row>
    <row r="21" spans="1:10">
      <c r="A21" s="102"/>
      <c r="B21" s="103"/>
      <c r="C21" s="770"/>
      <c r="D21" s="729"/>
      <c r="E21" s="739"/>
      <c r="F21" s="807" t="str">
        <f t="shared" si="0"/>
        <v>----</v>
      </c>
      <c r="G21" s="739"/>
      <c r="H21" s="807" t="str">
        <f t="shared" si="1"/>
        <v>----</v>
      </c>
      <c r="I21" s="734"/>
      <c r="J21" s="808" t="str">
        <f t="shared" si="2"/>
        <v>----</v>
      </c>
    </row>
    <row r="22" spans="1:10">
      <c r="A22" s="116"/>
      <c r="B22" s="117"/>
      <c r="C22" s="773"/>
      <c r="D22" s="789"/>
      <c r="E22" s="740"/>
      <c r="F22" s="807" t="str">
        <f t="shared" si="0"/>
        <v>----</v>
      </c>
      <c r="G22" s="740"/>
      <c r="H22" s="807" t="str">
        <f t="shared" si="1"/>
        <v>----</v>
      </c>
      <c r="I22" s="735"/>
      <c r="J22" s="808" t="str">
        <f t="shared" si="2"/>
        <v>----</v>
      </c>
    </row>
    <row r="23" spans="1:10" ht="15.75" thickBot="1">
      <c r="A23" s="74"/>
      <c r="B23" s="75"/>
      <c r="C23" s="783"/>
      <c r="D23" s="790"/>
      <c r="E23" s="796"/>
      <c r="F23" s="801" t="str">
        <f t="shared" si="0"/>
        <v>----</v>
      </c>
      <c r="G23" s="796"/>
      <c r="H23" s="801" t="str">
        <f t="shared" si="1"/>
        <v>----</v>
      </c>
      <c r="I23" s="793"/>
      <c r="J23" s="802" t="str">
        <f t="shared" si="2"/>
        <v>----</v>
      </c>
    </row>
    <row r="24" spans="1:10" ht="15.75" thickBot="1">
      <c r="A24" s="27"/>
      <c r="B24" s="27"/>
      <c r="C24" s="28"/>
      <c r="D24" s="28"/>
      <c r="E24" s="439"/>
      <c r="F24" s="441">
        <f>SUM(F4:F23)</f>
        <v>0</v>
      </c>
      <c r="G24" s="439"/>
      <c r="H24" s="441">
        <f>SUM(H4:H23)</f>
        <v>0</v>
      </c>
      <c r="I24" s="28"/>
      <c r="J24" s="69">
        <f>SUM(J4:J23)</f>
        <v>-40077</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09F0A-78AA-418C-A946-BE1AEB292968}">
  <dimension ref="A1:L25"/>
  <sheetViews>
    <sheetView workbookViewId="0">
      <selection activeCell="D12" sqref="D12"/>
    </sheetView>
  </sheetViews>
  <sheetFormatPr defaultRowHeight="15"/>
  <cols>
    <col min="2" max="2" width="22.85546875" bestFit="1" customWidth="1"/>
    <col min="3" max="4" width="12" bestFit="1" customWidth="1"/>
    <col min="5" max="5" width="10.7109375" style="432" bestFit="1" customWidth="1"/>
    <col min="6" max="6" width="13.28515625" style="432" customWidth="1"/>
    <col min="7" max="7" width="12" style="432" bestFit="1" customWidth="1"/>
    <col min="8" max="8" width="13.28515625" style="432" customWidth="1"/>
    <col min="9" max="9" width="10.7109375" bestFit="1" customWidth="1"/>
    <col min="10" max="10" width="13.28515625" customWidth="1"/>
    <col min="11" max="11" width="11.140625" bestFit="1" customWidth="1"/>
  </cols>
  <sheetData>
    <row r="1" spans="1:12" ht="15.75" thickBot="1">
      <c r="A1" s="952" t="s">
        <v>271</v>
      </c>
      <c r="B1" s="953"/>
      <c r="C1" s="953"/>
      <c r="D1" s="953"/>
      <c r="E1" s="953"/>
      <c r="F1" s="953"/>
      <c r="G1" s="953"/>
      <c r="H1" s="953"/>
      <c r="I1" s="953"/>
      <c r="J1" s="954"/>
    </row>
    <row r="2" spans="1:12" s="432" customFormat="1">
      <c r="A2" s="959" t="s">
        <v>110</v>
      </c>
      <c r="B2" s="961" t="s">
        <v>111</v>
      </c>
      <c r="C2" s="961" t="s">
        <v>112</v>
      </c>
      <c r="D2" s="973" t="s">
        <v>120</v>
      </c>
      <c r="E2" s="957" t="s">
        <v>701</v>
      </c>
      <c r="F2" s="958"/>
      <c r="G2" s="957" t="s">
        <v>702</v>
      </c>
      <c r="H2" s="958"/>
      <c r="I2" s="932" t="s">
        <v>796</v>
      </c>
      <c r="J2" s="933"/>
    </row>
    <row r="3" spans="1:12" ht="46.5" thickBot="1">
      <c r="A3" s="960"/>
      <c r="B3" s="962"/>
      <c r="C3" s="962"/>
      <c r="D3" s="974"/>
      <c r="E3" s="460" t="s">
        <v>121</v>
      </c>
      <c r="F3" s="468" t="s">
        <v>113</v>
      </c>
      <c r="G3" s="460" t="s">
        <v>121</v>
      </c>
      <c r="H3" s="468" t="s">
        <v>113</v>
      </c>
      <c r="I3" s="478" t="s">
        <v>121</v>
      </c>
      <c r="J3" s="25" t="s">
        <v>113</v>
      </c>
    </row>
    <row r="4" spans="1:12">
      <c r="A4" s="70">
        <v>44089</v>
      </c>
      <c r="B4" s="71" t="s">
        <v>304</v>
      </c>
      <c r="C4" s="781">
        <v>919799.95</v>
      </c>
      <c r="D4" s="787">
        <f>C4</f>
        <v>919799.95</v>
      </c>
      <c r="E4" s="794">
        <v>802676.22</v>
      </c>
      <c r="F4" s="803">
        <f t="shared" ref="F4:F24" si="0">IF(ISBLANK(E4),"----",E4-D4)</f>
        <v>-117123.72999999998</v>
      </c>
      <c r="G4" s="794" t="s">
        <v>703</v>
      </c>
      <c r="H4" s="803" t="str">
        <f t="shared" ref="H4:H24" si="1">IF(OR(G4="Complete",ISBLANK(G4)),"----",G4-$D4)</f>
        <v>----</v>
      </c>
      <c r="I4" s="791" t="s">
        <v>703</v>
      </c>
      <c r="J4" s="804" t="str">
        <f t="shared" ref="J4:J24" si="2">IF(OR(I4="Complete",ISBLANK(I4)),"----",I4-$D4)</f>
        <v>----</v>
      </c>
    </row>
    <row r="5" spans="1:12">
      <c r="A5" s="88">
        <v>44306</v>
      </c>
      <c r="B5" s="101" t="s">
        <v>424</v>
      </c>
      <c r="C5" s="784">
        <v>440634.6</v>
      </c>
      <c r="D5" s="788">
        <v>352507.68</v>
      </c>
      <c r="E5" s="795"/>
      <c r="F5" s="807" t="str">
        <f t="shared" si="0"/>
        <v>----</v>
      </c>
      <c r="G5" s="795"/>
      <c r="H5" s="807" t="str">
        <f t="shared" si="1"/>
        <v>----</v>
      </c>
      <c r="I5" s="792"/>
      <c r="J5" s="808" t="str">
        <f t="shared" si="2"/>
        <v>----</v>
      </c>
    </row>
    <row r="6" spans="1:12">
      <c r="A6" s="102">
        <v>44397</v>
      </c>
      <c r="B6" s="103" t="s">
        <v>442</v>
      </c>
      <c r="C6" s="770">
        <v>2032576.17</v>
      </c>
      <c r="D6" s="729">
        <v>1076726.17</v>
      </c>
      <c r="E6" s="739"/>
      <c r="F6" s="771" t="str">
        <f t="shared" si="0"/>
        <v>----</v>
      </c>
      <c r="G6" s="739">
        <f>1941271.2-955850</f>
        <v>985421.2</v>
      </c>
      <c r="H6" s="771">
        <f t="shared" si="1"/>
        <v>-91304.969999999972</v>
      </c>
      <c r="I6" s="734" t="s">
        <v>703</v>
      </c>
      <c r="J6" s="772" t="str">
        <f t="shared" si="2"/>
        <v>----</v>
      </c>
      <c r="K6" s="779" t="s">
        <v>805</v>
      </c>
    </row>
    <row r="7" spans="1:12">
      <c r="A7" s="102">
        <v>44425</v>
      </c>
      <c r="B7" s="103" t="s">
        <v>445</v>
      </c>
      <c r="C7" s="770">
        <v>2603442.42</v>
      </c>
      <c r="D7" s="729">
        <v>1103442.3999999999</v>
      </c>
      <c r="E7" s="739"/>
      <c r="F7" s="771" t="str">
        <f t="shared" si="0"/>
        <v>----</v>
      </c>
      <c r="G7" s="739">
        <f>2553990.14-1500000</f>
        <v>1053990.1400000001</v>
      </c>
      <c r="H7" s="771">
        <f t="shared" si="1"/>
        <v>-49452.259999999776</v>
      </c>
      <c r="I7" s="734" t="s">
        <v>703</v>
      </c>
      <c r="J7" s="772" t="str">
        <f t="shared" si="2"/>
        <v>----</v>
      </c>
      <c r="K7" t="s">
        <v>446</v>
      </c>
    </row>
    <row r="8" spans="1:12">
      <c r="A8" s="102">
        <v>44460</v>
      </c>
      <c r="B8" s="103" t="s">
        <v>456</v>
      </c>
      <c r="C8" s="770">
        <v>621156.1</v>
      </c>
      <c r="D8" s="729">
        <v>124231.22</v>
      </c>
      <c r="E8" s="739"/>
      <c r="F8" s="771" t="str">
        <f t="shared" si="0"/>
        <v>----</v>
      </c>
      <c r="G8" s="739"/>
      <c r="H8" s="771" t="str">
        <f t="shared" si="1"/>
        <v>----</v>
      </c>
      <c r="I8" s="734"/>
      <c r="J8" s="772" t="str">
        <f t="shared" si="2"/>
        <v>----</v>
      </c>
    </row>
    <row r="9" spans="1:12">
      <c r="A9" s="102">
        <v>44880</v>
      </c>
      <c r="B9" s="103" t="s">
        <v>594</v>
      </c>
      <c r="C9" s="770">
        <v>2462334.34</v>
      </c>
      <c r="D9" s="729">
        <v>1462334.34</v>
      </c>
      <c r="E9" s="739"/>
      <c r="F9" s="771" t="str">
        <f t="shared" si="0"/>
        <v>----</v>
      </c>
      <c r="G9" s="739"/>
      <c r="H9" s="771" t="str">
        <f t="shared" si="1"/>
        <v>----</v>
      </c>
      <c r="I9" s="734"/>
      <c r="J9" s="772" t="str">
        <f t="shared" si="2"/>
        <v>----</v>
      </c>
      <c r="K9" t="s">
        <v>595</v>
      </c>
    </row>
    <row r="10" spans="1:12">
      <c r="A10" s="102">
        <v>45797</v>
      </c>
      <c r="B10" s="721" t="s">
        <v>875</v>
      </c>
      <c r="C10" s="770">
        <v>1669266.76</v>
      </c>
      <c r="D10" s="729">
        <f>C10-K10</f>
        <v>709266.76</v>
      </c>
      <c r="E10" s="739"/>
      <c r="F10" s="771" t="str">
        <f t="shared" si="0"/>
        <v>----</v>
      </c>
      <c r="G10" s="739"/>
      <c r="H10" s="771" t="str">
        <f t="shared" si="1"/>
        <v>----</v>
      </c>
      <c r="I10" s="734"/>
      <c r="J10" s="772" t="str">
        <f t="shared" si="2"/>
        <v>----</v>
      </c>
      <c r="K10" s="719">
        <v>960000</v>
      </c>
      <c r="L10" t="s">
        <v>876</v>
      </c>
    </row>
    <row r="11" spans="1:12">
      <c r="A11" s="102">
        <v>45825</v>
      </c>
      <c r="B11" s="721" t="s">
        <v>880</v>
      </c>
      <c r="C11" s="770">
        <v>597600.61</v>
      </c>
      <c r="D11" s="729">
        <f>C11</f>
        <v>597600.61</v>
      </c>
      <c r="E11" s="739"/>
      <c r="F11" s="771" t="str">
        <f t="shared" si="0"/>
        <v>----</v>
      </c>
      <c r="G11" s="739"/>
      <c r="H11" s="771" t="str">
        <f t="shared" si="1"/>
        <v>----</v>
      </c>
      <c r="I11" s="734"/>
      <c r="J11" s="772" t="str">
        <f t="shared" si="2"/>
        <v>----</v>
      </c>
    </row>
    <row r="12" spans="1:12">
      <c r="A12" s="102"/>
      <c r="B12" s="103"/>
      <c r="C12" s="770"/>
      <c r="D12" s="729"/>
      <c r="E12" s="739"/>
      <c r="F12" s="771" t="str">
        <f t="shared" si="0"/>
        <v>----</v>
      </c>
      <c r="G12" s="739"/>
      <c r="H12" s="771" t="str">
        <f t="shared" si="1"/>
        <v>----</v>
      </c>
      <c r="I12" s="734"/>
      <c r="J12" s="772" t="str">
        <f t="shared" si="2"/>
        <v>----</v>
      </c>
    </row>
    <row r="13" spans="1:12">
      <c r="A13" s="102"/>
      <c r="B13" s="103"/>
      <c r="C13" s="770"/>
      <c r="D13" s="729"/>
      <c r="E13" s="739"/>
      <c r="F13" s="771" t="str">
        <f t="shared" si="0"/>
        <v>----</v>
      </c>
      <c r="G13" s="739"/>
      <c r="H13" s="771" t="str">
        <f t="shared" si="1"/>
        <v>----</v>
      </c>
      <c r="I13" s="734"/>
      <c r="J13" s="772" t="str">
        <f t="shared" si="2"/>
        <v>----</v>
      </c>
    </row>
    <row r="14" spans="1:12">
      <c r="A14" s="102"/>
      <c r="B14" s="103"/>
      <c r="C14" s="770"/>
      <c r="D14" s="729"/>
      <c r="E14" s="739"/>
      <c r="F14" s="771" t="str">
        <f t="shared" si="0"/>
        <v>----</v>
      </c>
      <c r="G14" s="739"/>
      <c r="H14" s="771" t="str">
        <f t="shared" si="1"/>
        <v>----</v>
      </c>
      <c r="I14" s="734"/>
      <c r="J14" s="772" t="str">
        <f t="shared" si="2"/>
        <v>----</v>
      </c>
    </row>
    <row r="15" spans="1:12">
      <c r="A15" s="102"/>
      <c r="B15" s="103"/>
      <c r="C15" s="770"/>
      <c r="D15" s="729"/>
      <c r="E15" s="739"/>
      <c r="F15" s="771" t="str">
        <f t="shared" si="0"/>
        <v>----</v>
      </c>
      <c r="G15" s="739"/>
      <c r="H15" s="771" t="str">
        <f t="shared" si="1"/>
        <v>----</v>
      </c>
      <c r="I15" s="734"/>
      <c r="J15" s="772" t="str">
        <f t="shared" si="2"/>
        <v>----</v>
      </c>
    </row>
    <row r="16" spans="1:12">
      <c r="A16" s="102"/>
      <c r="B16" s="103"/>
      <c r="C16" s="770"/>
      <c r="D16" s="729"/>
      <c r="E16" s="739"/>
      <c r="F16" s="771" t="str">
        <f t="shared" si="0"/>
        <v>----</v>
      </c>
      <c r="G16" s="739"/>
      <c r="H16" s="771" t="str">
        <f t="shared" si="1"/>
        <v>----</v>
      </c>
      <c r="I16" s="734"/>
      <c r="J16" s="772" t="str">
        <f t="shared" si="2"/>
        <v>----</v>
      </c>
    </row>
    <row r="17" spans="1:10">
      <c r="A17" s="102"/>
      <c r="B17" s="103"/>
      <c r="C17" s="770"/>
      <c r="D17" s="729"/>
      <c r="E17" s="739"/>
      <c r="F17" s="771" t="str">
        <f t="shared" si="0"/>
        <v>----</v>
      </c>
      <c r="G17" s="739"/>
      <c r="H17" s="771" t="str">
        <f t="shared" si="1"/>
        <v>----</v>
      </c>
      <c r="I17" s="734"/>
      <c r="J17" s="772" t="str">
        <f t="shared" si="2"/>
        <v>----</v>
      </c>
    </row>
    <row r="18" spans="1:10">
      <c r="A18" s="102"/>
      <c r="B18" s="103"/>
      <c r="C18" s="770"/>
      <c r="D18" s="729"/>
      <c r="E18" s="739"/>
      <c r="F18" s="771" t="str">
        <f t="shared" si="0"/>
        <v>----</v>
      </c>
      <c r="G18" s="739"/>
      <c r="H18" s="771" t="str">
        <f t="shared" si="1"/>
        <v>----</v>
      </c>
      <c r="I18" s="734"/>
      <c r="J18" s="772" t="str">
        <f t="shared" si="2"/>
        <v>----</v>
      </c>
    </row>
    <row r="19" spans="1:10">
      <c r="A19" s="102"/>
      <c r="B19" s="103"/>
      <c r="C19" s="770"/>
      <c r="D19" s="729"/>
      <c r="E19" s="739"/>
      <c r="F19" s="771" t="str">
        <f t="shared" si="0"/>
        <v>----</v>
      </c>
      <c r="G19" s="739"/>
      <c r="H19" s="771" t="str">
        <f t="shared" si="1"/>
        <v>----</v>
      </c>
      <c r="I19" s="734"/>
      <c r="J19" s="772" t="str">
        <f t="shared" si="2"/>
        <v>----</v>
      </c>
    </row>
    <row r="20" spans="1:10">
      <c r="A20" s="102"/>
      <c r="B20" s="103"/>
      <c r="C20" s="770"/>
      <c r="D20" s="729"/>
      <c r="E20" s="739"/>
      <c r="F20" s="771" t="str">
        <f t="shared" si="0"/>
        <v>----</v>
      </c>
      <c r="G20" s="739"/>
      <c r="H20" s="771" t="str">
        <f t="shared" si="1"/>
        <v>----</v>
      </c>
      <c r="I20" s="734"/>
      <c r="J20" s="772" t="str">
        <f t="shared" si="2"/>
        <v>----</v>
      </c>
    </row>
    <row r="21" spans="1:10">
      <c r="A21" s="102"/>
      <c r="B21" s="103"/>
      <c r="C21" s="770"/>
      <c r="D21" s="729"/>
      <c r="E21" s="739"/>
      <c r="F21" s="771" t="str">
        <f t="shared" si="0"/>
        <v>----</v>
      </c>
      <c r="G21" s="739"/>
      <c r="H21" s="771" t="str">
        <f t="shared" si="1"/>
        <v>----</v>
      </c>
      <c r="I21" s="734"/>
      <c r="J21" s="772" t="str">
        <f t="shared" si="2"/>
        <v>----</v>
      </c>
    </row>
    <row r="22" spans="1:10">
      <c r="A22" s="102"/>
      <c r="B22" s="103"/>
      <c r="C22" s="770"/>
      <c r="D22" s="729"/>
      <c r="E22" s="739"/>
      <c r="F22" s="771" t="str">
        <f t="shared" si="0"/>
        <v>----</v>
      </c>
      <c r="G22" s="739"/>
      <c r="H22" s="771" t="str">
        <f t="shared" si="1"/>
        <v>----</v>
      </c>
      <c r="I22" s="734"/>
      <c r="J22" s="772" t="str">
        <f t="shared" si="2"/>
        <v>----</v>
      </c>
    </row>
    <row r="23" spans="1:10">
      <c r="A23" s="116"/>
      <c r="B23" s="117"/>
      <c r="C23" s="773"/>
      <c r="D23" s="789"/>
      <c r="E23" s="740"/>
      <c r="F23" s="774" t="str">
        <f t="shared" si="0"/>
        <v>----</v>
      </c>
      <c r="G23" s="740"/>
      <c r="H23" s="774" t="str">
        <f t="shared" si="1"/>
        <v>----</v>
      </c>
      <c r="I23" s="735"/>
      <c r="J23" s="775" t="str">
        <f t="shared" si="2"/>
        <v>----</v>
      </c>
    </row>
    <row r="24" spans="1:10" ht="15.75" thickBot="1">
      <c r="A24" s="74"/>
      <c r="B24" s="75"/>
      <c r="C24" s="783"/>
      <c r="D24" s="790"/>
      <c r="E24" s="796"/>
      <c r="F24" s="801" t="str">
        <f t="shared" si="0"/>
        <v>----</v>
      </c>
      <c r="G24" s="796"/>
      <c r="H24" s="801" t="str">
        <f t="shared" si="1"/>
        <v>----</v>
      </c>
      <c r="I24" s="793"/>
      <c r="J24" s="802" t="str">
        <f t="shared" si="2"/>
        <v>----</v>
      </c>
    </row>
    <row r="25" spans="1:10" ht="15.75" thickBot="1">
      <c r="A25" s="27"/>
      <c r="B25" s="27"/>
      <c r="C25" s="28"/>
      <c r="D25" s="28"/>
      <c r="E25" s="439"/>
      <c r="F25" s="441">
        <f>SUM(F4:F24)</f>
        <v>-117123.72999999998</v>
      </c>
      <c r="G25" s="439"/>
      <c r="H25" s="441">
        <f>SUM(H4:H24)</f>
        <v>-140757.22999999975</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99A68-07FA-4562-B9F1-D06A15E54ADE}">
  <dimension ref="A1:J25"/>
  <sheetViews>
    <sheetView workbookViewId="0">
      <selection activeCell="G8" sqref="G8"/>
    </sheetView>
  </sheetViews>
  <sheetFormatPr defaultRowHeight="15"/>
  <cols>
    <col min="2" max="2" width="22.7109375" bestFit="1" customWidth="1"/>
    <col min="3" max="4" width="12" bestFit="1" customWidth="1"/>
    <col min="5" max="6" width="9.140625" style="432"/>
    <col min="7" max="7" width="10.7109375" style="432" bestFit="1" customWidth="1"/>
    <col min="8" max="8" width="9.5703125" style="432" bestFit="1" customWidth="1"/>
  </cols>
  <sheetData>
    <row r="1" spans="1:10" ht="15.75" thickBot="1">
      <c r="A1" s="952" t="s">
        <v>272</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69" thickBot="1">
      <c r="A3" s="960"/>
      <c r="B3" s="962"/>
      <c r="C3" s="962"/>
      <c r="D3" s="974"/>
      <c r="E3" s="460" t="s">
        <v>121</v>
      </c>
      <c r="F3" s="468" t="s">
        <v>113</v>
      </c>
      <c r="G3" s="460" t="s">
        <v>121</v>
      </c>
      <c r="H3" s="468" t="s">
        <v>113</v>
      </c>
      <c r="I3" s="478" t="s">
        <v>121</v>
      </c>
      <c r="J3" s="25" t="s">
        <v>113</v>
      </c>
    </row>
    <row r="4" spans="1:10">
      <c r="A4" s="70">
        <v>44089</v>
      </c>
      <c r="B4" s="71" t="s">
        <v>305</v>
      </c>
      <c r="C4" s="781">
        <v>685720.75</v>
      </c>
      <c r="D4" s="787">
        <f>C4</f>
        <v>685720.75</v>
      </c>
      <c r="E4" s="794"/>
      <c r="F4" s="803" t="str">
        <f t="shared" ref="F4:F24" si="0">IF(ISBLANK(E4),"----",E4-D4)</f>
        <v>----</v>
      </c>
      <c r="G4" s="794">
        <v>681296.11</v>
      </c>
      <c r="H4" s="803">
        <f t="shared" ref="H4:H24" si="1">IF(OR(G4="Complete",ISBLANK(G4)),"----",G4-$D4)</f>
        <v>-4424.640000000014</v>
      </c>
      <c r="I4" s="791" t="s">
        <v>703</v>
      </c>
      <c r="J4" s="804" t="str">
        <f t="shared" ref="J4:J24" si="2">IF(OR(I4="Complete",ISBLANK(I4)),"----",I4-$D4)</f>
        <v>----</v>
      </c>
    </row>
    <row r="5" spans="1:10">
      <c r="A5" s="88">
        <v>44425</v>
      </c>
      <c r="B5" s="101" t="s">
        <v>447</v>
      </c>
      <c r="C5" s="784">
        <v>625503.4</v>
      </c>
      <c r="D5" s="788">
        <f>C5</f>
        <v>625503.4</v>
      </c>
      <c r="E5" s="795"/>
      <c r="F5" s="807" t="str">
        <f t="shared" si="0"/>
        <v>----</v>
      </c>
      <c r="G5" s="795">
        <v>620242.5</v>
      </c>
      <c r="H5" s="807">
        <f t="shared" si="1"/>
        <v>-5260.9000000000233</v>
      </c>
      <c r="I5" s="792" t="s">
        <v>703</v>
      </c>
      <c r="J5" s="808" t="str">
        <f t="shared" si="2"/>
        <v>----</v>
      </c>
    </row>
    <row r="6" spans="1:10">
      <c r="A6" s="102">
        <v>45216</v>
      </c>
      <c r="B6" s="103" t="s">
        <v>664</v>
      </c>
      <c r="C6" s="770">
        <v>2878038.12</v>
      </c>
      <c r="D6" s="729">
        <f>C6</f>
        <v>2878038.12</v>
      </c>
      <c r="E6" s="739"/>
      <c r="F6" s="771" t="str">
        <f t="shared" si="0"/>
        <v>----</v>
      </c>
      <c r="G6" s="739"/>
      <c r="H6" s="771" t="str">
        <f t="shared" si="1"/>
        <v>----</v>
      </c>
      <c r="I6" s="734"/>
      <c r="J6" s="772" t="str">
        <f t="shared" si="2"/>
        <v>----</v>
      </c>
    </row>
    <row r="7" spans="1:10">
      <c r="A7" s="102">
        <v>45952</v>
      </c>
      <c r="B7" s="103" t="s">
        <v>908</v>
      </c>
      <c r="C7" s="770">
        <v>789617.8</v>
      </c>
      <c r="D7" s="729">
        <f>C7</f>
        <v>789617.8</v>
      </c>
      <c r="E7" s="739"/>
      <c r="F7" s="771" t="str">
        <f t="shared" si="0"/>
        <v>----</v>
      </c>
      <c r="G7" s="739"/>
      <c r="H7" s="771" t="str">
        <f t="shared" si="1"/>
        <v>----</v>
      </c>
      <c r="I7" s="734"/>
      <c r="J7" s="772" t="str">
        <f t="shared" si="2"/>
        <v>----</v>
      </c>
    </row>
    <row r="8" spans="1:10">
      <c r="A8" s="102"/>
      <c r="B8" s="103"/>
      <c r="C8" s="770"/>
      <c r="D8" s="729"/>
      <c r="E8" s="739"/>
      <c r="F8" s="771" t="str">
        <f t="shared" si="0"/>
        <v>----</v>
      </c>
      <c r="G8" s="739"/>
      <c r="H8" s="771" t="str">
        <f t="shared" si="1"/>
        <v>----</v>
      </c>
      <c r="I8" s="734"/>
      <c r="J8" s="772" t="str">
        <f t="shared" si="2"/>
        <v>----</v>
      </c>
    </row>
    <row r="9" spans="1:10">
      <c r="A9" s="102"/>
      <c r="B9" s="103"/>
      <c r="C9" s="770"/>
      <c r="D9" s="729"/>
      <c r="E9" s="739"/>
      <c r="F9" s="771" t="str">
        <f t="shared" si="0"/>
        <v>----</v>
      </c>
      <c r="G9" s="739"/>
      <c r="H9" s="771" t="str">
        <f t="shared" si="1"/>
        <v>----</v>
      </c>
      <c r="I9" s="734"/>
      <c r="J9" s="772" t="str">
        <f t="shared" si="2"/>
        <v>----</v>
      </c>
    </row>
    <row r="10" spans="1:10">
      <c r="A10" s="102"/>
      <c r="B10" s="103"/>
      <c r="C10" s="770"/>
      <c r="D10" s="729"/>
      <c r="E10" s="739"/>
      <c r="F10" s="771" t="str">
        <f t="shared" si="0"/>
        <v>----</v>
      </c>
      <c r="G10" s="739"/>
      <c r="H10" s="771" t="str">
        <f t="shared" si="1"/>
        <v>----</v>
      </c>
      <c r="I10" s="734"/>
      <c r="J10" s="772" t="str">
        <f t="shared" si="2"/>
        <v>----</v>
      </c>
    </row>
    <row r="11" spans="1:10">
      <c r="A11" s="102"/>
      <c r="B11" s="103"/>
      <c r="C11" s="770"/>
      <c r="D11" s="729"/>
      <c r="E11" s="739"/>
      <c r="F11" s="771" t="str">
        <f t="shared" si="0"/>
        <v>----</v>
      </c>
      <c r="G11" s="739"/>
      <c r="H11" s="771" t="str">
        <f t="shared" si="1"/>
        <v>----</v>
      </c>
      <c r="I11" s="734"/>
      <c r="J11" s="772" t="str">
        <f t="shared" si="2"/>
        <v>----</v>
      </c>
    </row>
    <row r="12" spans="1:10">
      <c r="A12" s="102"/>
      <c r="B12" s="103"/>
      <c r="C12" s="770"/>
      <c r="D12" s="729"/>
      <c r="E12" s="739"/>
      <c r="F12" s="771" t="str">
        <f t="shared" si="0"/>
        <v>----</v>
      </c>
      <c r="G12" s="739"/>
      <c r="H12" s="771" t="str">
        <f t="shared" si="1"/>
        <v>----</v>
      </c>
      <c r="I12" s="734"/>
      <c r="J12" s="772" t="str">
        <f t="shared" si="2"/>
        <v>----</v>
      </c>
    </row>
    <row r="13" spans="1:10">
      <c r="A13" s="102"/>
      <c r="B13" s="103"/>
      <c r="C13" s="770"/>
      <c r="D13" s="729"/>
      <c r="E13" s="739"/>
      <c r="F13" s="771" t="str">
        <f t="shared" si="0"/>
        <v>----</v>
      </c>
      <c r="G13" s="739"/>
      <c r="H13" s="771" t="str">
        <f t="shared" si="1"/>
        <v>----</v>
      </c>
      <c r="I13" s="734"/>
      <c r="J13" s="772" t="str">
        <f t="shared" si="2"/>
        <v>----</v>
      </c>
    </row>
    <row r="14" spans="1:10">
      <c r="A14" s="102"/>
      <c r="B14" s="103"/>
      <c r="C14" s="770"/>
      <c r="D14" s="729"/>
      <c r="E14" s="739"/>
      <c r="F14" s="771" t="str">
        <f t="shared" si="0"/>
        <v>----</v>
      </c>
      <c r="G14" s="739"/>
      <c r="H14" s="771" t="str">
        <f t="shared" si="1"/>
        <v>----</v>
      </c>
      <c r="I14" s="734"/>
      <c r="J14" s="772" t="str">
        <f t="shared" si="2"/>
        <v>----</v>
      </c>
    </row>
    <row r="15" spans="1:10">
      <c r="A15" s="102"/>
      <c r="B15" s="103"/>
      <c r="C15" s="770"/>
      <c r="D15" s="729"/>
      <c r="E15" s="739"/>
      <c r="F15" s="771" t="str">
        <f t="shared" si="0"/>
        <v>----</v>
      </c>
      <c r="G15" s="739"/>
      <c r="H15" s="771" t="str">
        <f t="shared" si="1"/>
        <v>----</v>
      </c>
      <c r="I15" s="734"/>
      <c r="J15" s="772" t="str">
        <f t="shared" si="2"/>
        <v>----</v>
      </c>
    </row>
    <row r="16" spans="1:10">
      <c r="A16" s="102"/>
      <c r="B16" s="103"/>
      <c r="C16" s="770"/>
      <c r="D16" s="729"/>
      <c r="E16" s="739"/>
      <c r="F16" s="771" t="str">
        <f t="shared" si="0"/>
        <v>----</v>
      </c>
      <c r="G16" s="739"/>
      <c r="H16" s="771" t="str">
        <f t="shared" si="1"/>
        <v>----</v>
      </c>
      <c r="I16" s="734"/>
      <c r="J16" s="772" t="str">
        <f t="shared" si="2"/>
        <v>----</v>
      </c>
    </row>
    <row r="17" spans="1:10">
      <c r="A17" s="102"/>
      <c r="B17" s="103"/>
      <c r="C17" s="770"/>
      <c r="D17" s="729"/>
      <c r="E17" s="739"/>
      <c r="F17" s="771" t="str">
        <f t="shared" si="0"/>
        <v>----</v>
      </c>
      <c r="G17" s="739"/>
      <c r="H17" s="771" t="str">
        <f t="shared" si="1"/>
        <v>----</v>
      </c>
      <c r="I17" s="734"/>
      <c r="J17" s="772" t="str">
        <f t="shared" si="2"/>
        <v>----</v>
      </c>
    </row>
    <row r="18" spans="1:10">
      <c r="A18" s="102"/>
      <c r="B18" s="103"/>
      <c r="C18" s="770"/>
      <c r="D18" s="729"/>
      <c r="E18" s="739"/>
      <c r="F18" s="771" t="str">
        <f t="shared" si="0"/>
        <v>----</v>
      </c>
      <c r="G18" s="739"/>
      <c r="H18" s="771" t="str">
        <f t="shared" si="1"/>
        <v>----</v>
      </c>
      <c r="I18" s="734"/>
      <c r="J18" s="772" t="str">
        <f t="shared" si="2"/>
        <v>----</v>
      </c>
    </row>
    <row r="19" spans="1:10">
      <c r="A19" s="102"/>
      <c r="B19" s="103"/>
      <c r="C19" s="770"/>
      <c r="D19" s="729"/>
      <c r="E19" s="739"/>
      <c r="F19" s="771" t="str">
        <f t="shared" si="0"/>
        <v>----</v>
      </c>
      <c r="G19" s="739"/>
      <c r="H19" s="771" t="str">
        <f t="shared" si="1"/>
        <v>----</v>
      </c>
      <c r="I19" s="734"/>
      <c r="J19" s="772" t="str">
        <f t="shared" si="2"/>
        <v>----</v>
      </c>
    </row>
    <row r="20" spans="1:10">
      <c r="A20" s="102"/>
      <c r="B20" s="103"/>
      <c r="C20" s="770"/>
      <c r="D20" s="729"/>
      <c r="E20" s="739"/>
      <c r="F20" s="771" t="str">
        <f t="shared" si="0"/>
        <v>----</v>
      </c>
      <c r="G20" s="739"/>
      <c r="H20" s="771" t="str">
        <f t="shared" si="1"/>
        <v>----</v>
      </c>
      <c r="I20" s="734"/>
      <c r="J20" s="772" t="str">
        <f t="shared" si="2"/>
        <v>----</v>
      </c>
    </row>
    <row r="21" spans="1:10">
      <c r="A21" s="102"/>
      <c r="B21" s="103"/>
      <c r="C21" s="770"/>
      <c r="D21" s="729"/>
      <c r="E21" s="739"/>
      <c r="F21" s="771" t="str">
        <f t="shared" si="0"/>
        <v>----</v>
      </c>
      <c r="G21" s="739"/>
      <c r="H21" s="771" t="str">
        <f t="shared" si="1"/>
        <v>----</v>
      </c>
      <c r="I21" s="734"/>
      <c r="J21" s="772" t="str">
        <f t="shared" si="2"/>
        <v>----</v>
      </c>
    </row>
    <row r="22" spans="1:10">
      <c r="A22" s="102"/>
      <c r="B22" s="103"/>
      <c r="C22" s="770"/>
      <c r="D22" s="729"/>
      <c r="E22" s="739"/>
      <c r="F22" s="771" t="str">
        <f t="shared" si="0"/>
        <v>----</v>
      </c>
      <c r="G22" s="739"/>
      <c r="H22" s="771" t="str">
        <f t="shared" si="1"/>
        <v>----</v>
      </c>
      <c r="I22" s="734"/>
      <c r="J22" s="772" t="str">
        <f t="shared" si="2"/>
        <v>----</v>
      </c>
    </row>
    <row r="23" spans="1:10">
      <c r="A23" s="91"/>
      <c r="B23" s="92"/>
      <c r="C23" s="782"/>
      <c r="D23" s="797"/>
      <c r="E23" s="799"/>
      <c r="F23" s="662" t="str">
        <f t="shared" si="0"/>
        <v>----</v>
      </c>
      <c r="G23" s="799"/>
      <c r="H23" s="662" t="str">
        <f t="shared" si="1"/>
        <v>----</v>
      </c>
      <c r="I23" s="798"/>
      <c r="J23" s="663" t="str">
        <f t="shared" si="2"/>
        <v>----</v>
      </c>
    </row>
    <row r="24" spans="1:10" ht="15.75" thickBot="1">
      <c r="A24" s="74"/>
      <c r="B24" s="75"/>
      <c r="C24" s="783"/>
      <c r="D24" s="790"/>
      <c r="E24" s="796"/>
      <c r="F24" s="801" t="str">
        <f t="shared" si="0"/>
        <v>----</v>
      </c>
      <c r="G24" s="796"/>
      <c r="H24" s="801" t="str">
        <f t="shared" si="1"/>
        <v>----</v>
      </c>
      <c r="I24" s="793"/>
      <c r="J24" s="802" t="str">
        <f t="shared" si="2"/>
        <v>----</v>
      </c>
    </row>
    <row r="25" spans="1:10" ht="15.75" thickBot="1">
      <c r="A25" s="27"/>
      <c r="B25" s="27"/>
      <c r="C25" s="28"/>
      <c r="D25" s="28"/>
      <c r="E25" s="439"/>
      <c r="F25" s="441">
        <f>SUM(F4:F24)</f>
        <v>0</v>
      </c>
      <c r="G25" s="439"/>
      <c r="H25" s="441">
        <f>SUM(H4:H24)</f>
        <v>-9685.5400000000373</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5560C-7478-4965-891D-D35D2E02EE9E}">
  <dimension ref="A1:J15"/>
  <sheetViews>
    <sheetView workbookViewId="0">
      <selection activeCell="N22" sqref="N22"/>
    </sheetView>
  </sheetViews>
  <sheetFormatPr defaultRowHeight="15"/>
  <cols>
    <col min="2" max="2" width="23.7109375" bestFit="1" customWidth="1"/>
    <col min="3" max="4" width="11.42578125" bestFit="1" customWidth="1"/>
    <col min="5" max="5" width="10.7109375" style="432" bestFit="1" customWidth="1"/>
    <col min="6" max="6" width="10.42578125" style="432" bestFit="1" customWidth="1"/>
    <col min="7" max="7" width="10.7109375" style="432" bestFit="1" customWidth="1"/>
    <col min="8" max="8" width="10.42578125" style="432" bestFit="1" customWidth="1"/>
    <col min="9" max="9" width="10.7109375" bestFit="1" customWidth="1"/>
    <col min="10" max="10" width="10.42578125" bestFit="1" customWidth="1"/>
  </cols>
  <sheetData>
    <row r="1" spans="1:10" ht="15.75" thickBot="1">
      <c r="A1" s="952" t="s">
        <v>273</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57.75" thickBot="1">
      <c r="A3" s="960"/>
      <c r="B3" s="962"/>
      <c r="C3" s="962"/>
      <c r="D3" s="974"/>
      <c r="E3" s="460" t="s">
        <v>121</v>
      </c>
      <c r="F3" s="468" t="s">
        <v>113</v>
      </c>
      <c r="G3" s="460" t="s">
        <v>121</v>
      </c>
      <c r="H3" s="468" t="s">
        <v>113</v>
      </c>
      <c r="I3" s="478" t="s">
        <v>121</v>
      </c>
      <c r="J3" s="25" t="s">
        <v>113</v>
      </c>
    </row>
    <row r="4" spans="1:10">
      <c r="A4" s="70">
        <v>44153</v>
      </c>
      <c r="B4" s="71" t="s">
        <v>334</v>
      </c>
      <c r="C4" s="72">
        <v>412865.8</v>
      </c>
      <c r="D4" s="429">
        <f>C4</f>
        <v>412865.8</v>
      </c>
      <c r="E4" s="469">
        <v>412152.7</v>
      </c>
      <c r="F4" s="470">
        <f t="shared" ref="F4:F14" si="0">IF(ISBLANK(E4),"----",E4-D4)</f>
        <v>-713.09999999997672</v>
      </c>
      <c r="G4" s="469" t="s">
        <v>703</v>
      </c>
      <c r="H4" s="470" t="str">
        <f t="shared" ref="H4:H14" si="1">IF(OR(G4="Complete",ISBLANK(G4)),"----",G4-$D4)</f>
        <v>----</v>
      </c>
      <c r="I4" s="479" t="s">
        <v>703</v>
      </c>
      <c r="J4" s="73" t="str">
        <f t="shared" ref="J4:J14" si="2">IF(OR(I4="Complete",ISBLANK(I4)),"----",I4-$D4)</f>
        <v>----</v>
      </c>
    </row>
    <row r="5" spans="1:10">
      <c r="A5" s="88">
        <v>44488</v>
      </c>
      <c r="B5" s="101" t="s">
        <v>460</v>
      </c>
      <c r="C5" s="82">
        <v>849684.67</v>
      </c>
      <c r="D5" s="431">
        <f>C5</f>
        <v>849684.67</v>
      </c>
      <c r="E5" s="471">
        <v>804253.06</v>
      </c>
      <c r="F5" s="472">
        <f t="shared" si="0"/>
        <v>-45431.609999999986</v>
      </c>
      <c r="G5" s="471" t="s">
        <v>703</v>
      </c>
      <c r="H5" s="472" t="str">
        <f t="shared" si="1"/>
        <v>----</v>
      </c>
      <c r="I5" s="484" t="s">
        <v>703</v>
      </c>
      <c r="J5" s="83" t="str">
        <f t="shared" si="2"/>
        <v>----</v>
      </c>
    </row>
    <row r="6" spans="1:10">
      <c r="A6" s="88">
        <v>45153</v>
      </c>
      <c r="B6" s="101" t="s">
        <v>656</v>
      </c>
      <c r="C6" s="374">
        <v>2862114.42</v>
      </c>
      <c r="D6" s="560">
        <f>C6-20000</f>
        <v>2842114.42</v>
      </c>
      <c r="E6" s="471"/>
      <c r="F6" s="472" t="str">
        <f t="shared" si="0"/>
        <v>----</v>
      </c>
      <c r="G6" s="471"/>
      <c r="H6" s="472" t="str">
        <f t="shared" si="1"/>
        <v>----</v>
      </c>
      <c r="I6" s="484"/>
      <c r="J6" s="83" t="str">
        <f t="shared" si="2"/>
        <v>----</v>
      </c>
    </row>
    <row r="7" spans="1:10">
      <c r="A7" s="88"/>
      <c r="B7" s="101"/>
      <c r="C7" s="82"/>
      <c r="D7" s="431"/>
      <c r="E7" s="471"/>
      <c r="F7" s="472" t="str">
        <f t="shared" si="0"/>
        <v>----</v>
      </c>
      <c r="G7" s="471"/>
      <c r="H7" s="472" t="str">
        <f t="shared" si="1"/>
        <v>----</v>
      </c>
      <c r="I7" s="484"/>
      <c r="J7" s="83" t="str">
        <f t="shared" si="2"/>
        <v>----</v>
      </c>
    </row>
    <row r="8" spans="1:10">
      <c r="A8" s="88"/>
      <c r="B8" s="101"/>
      <c r="C8" s="82"/>
      <c r="D8" s="431"/>
      <c r="E8" s="471"/>
      <c r="F8" s="472" t="str">
        <f t="shared" si="0"/>
        <v>----</v>
      </c>
      <c r="G8" s="471"/>
      <c r="H8" s="472" t="str">
        <f t="shared" si="1"/>
        <v>----</v>
      </c>
      <c r="I8" s="484"/>
      <c r="J8" s="83" t="str">
        <f t="shared" si="2"/>
        <v>----</v>
      </c>
    </row>
    <row r="9" spans="1:10">
      <c r="A9" s="88"/>
      <c r="B9" s="101"/>
      <c r="C9" s="82"/>
      <c r="D9" s="431"/>
      <c r="E9" s="471"/>
      <c r="F9" s="472" t="str">
        <f t="shared" si="0"/>
        <v>----</v>
      </c>
      <c r="G9" s="471"/>
      <c r="H9" s="472" t="str">
        <f t="shared" si="1"/>
        <v>----</v>
      </c>
      <c r="I9" s="484"/>
      <c r="J9" s="83" t="str">
        <f t="shared" si="2"/>
        <v>----</v>
      </c>
    </row>
    <row r="10" spans="1:10">
      <c r="A10" s="88"/>
      <c r="B10" s="101"/>
      <c r="C10" s="82"/>
      <c r="D10" s="431"/>
      <c r="E10" s="471"/>
      <c r="F10" s="472" t="str">
        <f t="shared" si="0"/>
        <v>----</v>
      </c>
      <c r="G10" s="471"/>
      <c r="H10" s="472" t="str">
        <f t="shared" si="1"/>
        <v>----</v>
      </c>
      <c r="I10" s="484"/>
      <c r="J10" s="83" t="str">
        <f t="shared" si="2"/>
        <v>----</v>
      </c>
    </row>
    <row r="11" spans="1:10">
      <c r="A11" s="88"/>
      <c r="B11" s="101"/>
      <c r="C11" s="82"/>
      <c r="D11" s="431"/>
      <c r="E11" s="471"/>
      <c r="F11" s="472" t="str">
        <f t="shared" si="0"/>
        <v>----</v>
      </c>
      <c r="G11" s="471"/>
      <c r="H11" s="472" t="str">
        <f t="shared" si="1"/>
        <v>----</v>
      </c>
      <c r="I11" s="484"/>
      <c r="J11" s="83" t="str">
        <f t="shared" si="2"/>
        <v>----</v>
      </c>
    </row>
    <row r="12" spans="1:10">
      <c r="A12" s="88"/>
      <c r="B12" s="101"/>
      <c r="C12" s="82"/>
      <c r="D12" s="431"/>
      <c r="E12" s="471"/>
      <c r="F12" s="472" t="str">
        <f t="shared" si="0"/>
        <v>----</v>
      </c>
      <c r="G12" s="471"/>
      <c r="H12" s="472" t="str">
        <f t="shared" si="1"/>
        <v>----</v>
      </c>
      <c r="I12" s="484"/>
      <c r="J12" s="83" t="str">
        <f t="shared" si="2"/>
        <v>----</v>
      </c>
    </row>
    <row r="13" spans="1:10">
      <c r="A13" s="88"/>
      <c r="B13" s="101"/>
      <c r="C13" s="82"/>
      <c r="D13" s="431"/>
      <c r="E13" s="471"/>
      <c r="F13" s="472" t="str">
        <f t="shared" si="0"/>
        <v>----</v>
      </c>
      <c r="G13" s="471"/>
      <c r="H13" s="472" t="str">
        <f t="shared" si="1"/>
        <v>----</v>
      </c>
      <c r="I13" s="484"/>
      <c r="J13" s="83" t="str">
        <f t="shared" si="2"/>
        <v>----</v>
      </c>
    </row>
    <row r="14" spans="1:10" ht="15.75" thickBot="1">
      <c r="A14" s="74"/>
      <c r="B14" s="75"/>
      <c r="C14" s="76"/>
      <c r="D14" s="430"/>
      <c r="E14" s="475"/>
      <c r="F14" s="476" t="str">
        <f t="shared" si="0"/>
        <v>----</v>
      </c>
      <c r="G14" s="475"/>
      <c r="H14" s="476" t="str">
        <f t="shared" si="1"/>
        <v>----</v>
      </c>
      <c r="I14" s="481"/>
      <c r="J14" s="77" t="str">
        <f t="shared" si="2"/>
        <v>----</v>
      </c>
    </row>
    <row r="15" spans="1:10" ht="15.75" thickBot="1">
      <c r="A15" s="27"/>
      <c r="B15" s="27"/>
      <c r="C15" s="28"/>
      <c r="D15" s="28"/>
      <c r="E15" s="439"/>
      <c r="F15" s="441">
        <f>SUM(F4:F14)</f>
        <v>-46144.709999999963</v>
      </c>
      <c r="G15" s="439"/>
      <c r="H15" s="441">
        <f>SUM(H4:H14)</f>
        <v>0</v>
      </c>
      <c r="I15" s="28"/>
      <c r="J15" s="69">
        <f>SUM(J4:J14)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B95F9-E82C-4963-8928-DFA317FD5E89}">
  <dimension ref="A1:L25"/>
  <sheetViews>
    <sheetView workbookViewId="0">
      <selection activeCell="D11" sqref="D11"/>
    </sheetView>
  </sheetViews>
  <sheetFormatPr defaultRowHeight="15"/>
  <cols>
    <col min="2" max="2" width="23.5703125" bestFit="1" customWidth="1"/>
    <col min="3" max="3" width="12" bestFit="1" customWidth="1"/>
    <col min="4" max="4" width="12.28515625" customWidth="1"/>
    <col min="5" max="5" width="9.140625" style="432"/>
    <col min="6" max="6" width="13.85546875" style="432" customWidth="1"/>
    <col min="7" max="7" width="9.5703125" style="432" bestFit="1" customWidth="1"/>
    <col min="8" max="8" width="13.85546875" style="432" customWidth="1"/>
    <col min="9" max="9" width="10.7109375" bestFit="1" customWidth="1"/>
    <col min="10" max="10" width="13.85546875" customWidth="1"/>
    <col min="11" max="11" width="11.140625" bestFit="1" customWidth="1"/>
  </cols>
  <sheetData>
    <row r="1" spans="1:12" ht="15.75" thickBot="1">
      <c r="A1" s="952" t="s">
        <v>226</v>
      </c>
      <c r="B1" s="953"/>
      <c r="C1" s="953"/>
      <c r="D1" s="953"/>
      <c r="E1" s="953"/>
      <c r="F1" s="953"/>
      <c r="G1" s="953"/>
      <c r="H1" s="953"/>
      <c r="I1" s="953"/>
      <c r="J1" s="954"/>
    </row>
    <row r="2" spans="1:12" s="432" customFormat="1">
      <c r="A2" s="959" t="s">
        <v>110</v>
      </c>
      <c r="B2" s="961" t="s">
        <v>111</v>
      </c>
      <c r="C2" s="961" t="s">
        <v>112</v>
      </c>
      <c r="D2" s="973" t="s">
        <v>120</v>
      </c>
      <c r="E2" s="957" t="s">
        <v>701</v>
      </c>
      <c r="F2" s="958"/>
      <c r="G2" s="957" t="s">
        <v>702</v>
      </c>
      <c r="H2" s="958"/>
      <c r="I2" s="932" t="s">
        <v>796</v>
      </c>
      <c r="J2" s="933"/>
    </row>
    <row r="3" spans="1:12" ht="46.5" thickBot="1">
      <c r="A3" s="960"/>
      <c r="B3" s="962"/>
      <c r="C3" s="962"/>
      <c r="D3" s="974"/>
      <c r="E3" s="460" t="s">
        <v>121</v>
      </c>
      <c r="F3" s="468" t="s">
        <v>113</v>
      </c>
      <c r="G3" s="460" t="s">
        <v>121</v>
      </c>
      <c r="H3" s="468" t="s">
        <v>113</v>
      </c>
      <c r="I3" s="478" t="s">
        <v>121</v>
      </c>
      <c r="J3" s="25" t="s">
        <v>113</v>
      </c>
    </row>
    <row r="4" spans="1:12">
      <c r="A4" s="70">
        <v>43907</v>
      </c>
      <c r="B4" s="71" t="s">
        <v>227</v>
      </c>
      <c r="C4" s="781">
        <v>1281590.32</v>
      </c>
      <c r="D4" s="787">
        <f>C4</f>
        <v>1281590.32</v>
      </c>
      <c r="E4" s="794"/>
      <c r="F4" s="803" t="str">
        <f t="shared" ref="F4:F24" si="0">IF(ISBLANK(E4),"----",E4-D4)</f>
        <v>----</v>
      </c>
      <c r="G4" s="794"/>
      <c r="H4" s="803" t="str">
        <f t="shared" ref="H4:H24" si="1">IF(OR(G4="Complete",ISBLANK(G4)),"----",G4-$D4)</f>
        <v>----</v>
      </c>
      <c r="I4" s="791"/>
      <c r="J4" s="804" t="str">
        <f t="shared" ref="J4:J24" si="2">IF(OR(I4="Complete",ISBLANK(I4)),"----",I4-$D4)</f>
        <v>----</v>
      </c>
    </row>
    <row r="5" spans="1:12">
      <c r="A5" s="88">
        <v>43907</v>
      </c>
      <c r="B5" s="101" t="s">
        <v>228</v>
      </c>
      <c r="C5" s="784">
        <v>1298278.68</v>
      </c>
      <c r="D5" s="788">
        <f>C5</f>
        <v>1298278.68</v>
      </c>
      <c r="E5" s="795"/>
      <c r="F5" s="807" t="str">
        <f t="shared" si="0"/>
        <v>----</v>
      </c>
      <c r="G5" s="795"/>
      <c r="H5" s="807" t="str">
        <f t="shared" si="1"/>
        <v>----</v>
      </c>
      <c r="I5" s="792"/>
      <c r="J5" s="808" t="str">
        <f t="shared" si="2"/>
        <v>----</v>
      </c>
    </row>
    <row r="6" spans="1:12">
      <c r="A6" s="102">
        <v>44216</v>
      </c>
      <c r="B6" s="103" t="s">
        <v>380</v>
      </c>
      <c r="C6" s="770">
        <v>668066.63</v>
      </c>
      <c r="D6" s="729">
        <v>340346.63</v>
      </c>
      <c r="E6" s="739"/>
      <c r="F6" s="807" t="str">
        <f t="shared" si="0"/>
        <v>----</v>
      </c>
      <c r="G6" s="739">
        <f>634596.46-K6</f>
        <v>306876.45999999996</v>
      </c>
      <c r="H6" s="807">
        <f t="shared" si="1"/>
        <v>-33470.170000000042</v>
      </c>
      <c r="I6" s="734"/>
      <c r="J6" s="808" t="str">
        <f t="shared" si="2"/>
        <v>----</v>
      </c>
      <c r="K6" s="719">
        <v>327720</v>
      </c>
      <c r="L6" t="s">
        <v>811</v>
      </c>
    </row>
    <row r="7" spans="1:12">
      <c r="A7" s="102">
        <v>44880</v>
      </c>
      <c r="B7" s="103" t="s">
        <v>596</v>
      </c>
      <c r="C7" s="770">
        <v>1427198.19</v>
      </c>
      <c r="D7" s="729">
        <f>C7</f>
        <v>1427198.19</v>
      </c>
      <c r="E7" s="739"/>
      <c r="F7" s="807" t="str">
        <f t="shared" si="0"/>
        <v>----</v>
      </c>
      <c r="G7" s="739"/>
      <c r="H7" s="807" t="str">
        <f t="shared" si="1"/>
        <v>----</v>
      </c>
      <c r="I7" s="734"/>
      <c r="J7" s="808" t="str">
        <f t="shared" si="2"/>
        <v>----</v>
      </c>
      <c r="L7" t="s">
        <v>512</v>
      </c>
    </row>
    <row r="8" spans="1:12">
      <c r="A8" s="984">
        <v>45706</v>
      </c>
      <c r="B8" s="220" t="s">
        <v>840</v>
      </c>
      <c r="C8" s="758">
        <f>332734.14/2</f>
        <v>166367.07</v>
      </c>
      <c r="D8" s="759">
        <f>C8</f>
        <v>166367.07</v>
      </c>
      <c r="E8" s="760"/>
      <c r="F8" s="816" t="str">
        <f t="shared" si="0"/>
        <v>----</v>
      </c>
      <c r="G8" s="760"/>
      <c r="H8" s="816" t="str">
        <f t="shared" si="1"/>
        <v>----</v>
      </c>
      <c r="I8" s="762"/>
      <c r="J8" s="817" t="str">
        <f t="shared" si="2"/>
        <v>----</v>
      </c>
      <c r="K8" t="s">
        <v>842</v>
      </c>
    </row>
    <row r="9" spans="1:12">
      <c r="A9" s="985"/>
      <c r="B9" s="220" t="s">
        <v>841</v>
      </c>
      <c r="C9" s="758">
        <f>237813.5/2</f>
        <v>118906.75</v>
      </c>
      <c r="D9" s="759">
        <f>C9</f>
        <v>118906.75</v>
      </c>
      <c r="E9" s="760"/>
      <c r="F9" s="816" t="str">
        <f t="shared" si="0"/>
        <v>----</v>
      </c>
      <c r="G9" s="760"/>
      <c r="H9" s="816" t="str">
        <f t="shared" si="1"/>
        <v>----</v>
      </c>
      <c r="I9" s="762"/>
      <c r="J9" s="817" t="str">
        <f t="shared" si="2"/>
        <v>----</v>
      </c>
      <c r="K9" s="780" t="s">
        <v>843</v>
      </c>
    </row>
    <row r="10" spans="1:12">
      <c r="A10" s="102">
        <v>45762</v>
      </c>
      <c r="B10" s="721" t="s">
        <v>869</v>
      </c>
      <c r="C10" s="770">
        <v>844203.75</v>
      </c>
      <c r="D10" s="729">
        <f>C10</f>
        <v>844203.75</v>
      </c>
      <c r="E10" s="739"/>
      <c r="F10" s="807" t="str">
        <f t="shared" si="0"/>
        <v>----</v>
      </c>
      <c r="G10" s="739"/>
      <c r="H10" s="807" t="str">
        <f t="shared" si="1"/>
        <v>----</v>
      </c>
      <c r="I10" s="734"/>
      <c r="J10" s="808" t="str">
        <f t="shared" si="2"/>
        <v>----</v>
      </c>
    </row>
    <row r="11" spans="1:12">
      <c r="A11" s="102"/>
      <c r="B11" s="103"/>
      <c r="C11" s="770"/>
      <c r="D11" s="729"/>
      <c r="E11" s="739"/>
      <c r="F11" s="807" t="str">
        <f t="shared" si="0"/>
        <v>----</v>
      </c>
      <c r="G11" s="739"/>
      <c r="H11" s="807" t="str">
        <f t="shared" si="1"/>
        <v>----</v>
      </c>
      <c r="I11" s="734"/>
      <c r="J11" s="808" t="str">
        <f t="shared" si="2"/>
        <v>----</v>
      </c>
    </row>
    <row r="12" spans="1:12">
      <c r="A12" s="102"/>
      <c r="B12" s="103"/>
      <c r="C12" s="770"/>
      <c r="D12" s="729"/>
      <c r="E12" s="739"/>
      <c r="F12" s="807" t="str">
        <f t="shared" si="0"/>
        <v>----</v>
      </c>
      <c r="G12" s="739"/>
      <c r="H12" s="807" t="str">
        <f t="shared" si="1"/>
        <v>----</v>
      </c>
      <c r="I12" s="734"/>
      <c r="J12" s="808" t="str">
        <f t="shared" si="2"/>
        <v>----</v>
      </c>
    </row>
    <row r="13" spans="1:12">
      <c r="A13" s="102"/>
      <c r="B13" s="103"/>
      <c r="C13" s="770"/>
      <c r="D13" s="729"/>
      <c r="E13" s="739"/>
      <c r="F13" s="807" t="str">
        <f t="shared" si="0"/>
        <v>----</v>
      </c>
      <c r="G13" s="739"/>
      <c r="H13" s="807" t="str">
        <f t="shared" si="1"/>
        <v>----</v>
      </c>
      <c r="I13" s="734"/>
      <c r="J13" s="808" t="str">
        <f t="shared" si="2"/>
        <v>----</v>
      </c>
    </row>
    <row r="14" spans="1:12">
      <c r="A14" s="102"/>
      <c r="B14" s="103"/>
      <c r="C14" s="770"/>
      <c r="D14" s="729"/>
      <c r="E14" s="739"/>
      <c r="F14" s="807" t="str">
        <f t="shared" si="0"/>
        <v>----</v>
      </c>
      <c r="G14" s="739"/>
      <c r="H14" s="807" t="str">
        <f t="shared" si="1"/>
        <v>----</v>
      </c>
      <c r="I14" s="734"/>
      <c r="J14" s="808" t="str">
        <f t="shared" si="2"/>
        <v>----</v>
      </c>
    </row>
    <row r="15" spans="1:12">
      <c r="A15" s="102"/>
      <c r="B15" s="103"/>
      <c r="C15" s="770"/>
      <c r="D15" s="729"/>
      <c r="E15" s="739"/>
      <c r="F15" s="807" t="str">
        <f t="shared" si="0"/>
        <v>----</v>
      </c>
      <c r="G15" s="739"/>
      <c r="H15" s="807" t="str">
        <f t="shared" si="1"/>
        <v>----</v>
      </c>
      <c r="I15" s="734"/>
      <c r="J15" s="808" t="str">
        <f t="shared" si="2"/>
        <v>----</v>
      </c>
    </row>
    <row r="16" spans="1:12">
      <c r="A16" s="102"/>
      <c r="B16" s="103"/>
      <c r="C16" s="770"/>
      <c r="D16" s="729"/>
      <c r="E16" s="739"/>
      <c r="F16" s="807" t="str">
        <f t="shared" si="0"/>
        <v>----</v>
      </c>
      <c r="G16" s="739"/>
      <c r="H16" s="807" t="str">
        <f t="shared" si="1"/>
        <v>----</v>
      </c>
      <c r="I16" s="734"/>
      <c r="J16" s="808" t="str">
        <f t="shared" si="2"/>
        <v>----</v>
      </c>
    </row>
    <row r="17" spans="1:10">
      <c r="A17" s="102"/>
      <c r="B17" s="103"/>
      <c r="C17" s="770"/>
      <c r="D17" s="729"/>
      <c r="E17" s="739"/>
      <c r="F17" s="807" t="str">
        <f t="shared" si="0"/>
        <v>----</v>
      </c>
      <c r="G17" s="739"/>
      <c r="H17" s="807" t="str">
        <f t="shared" si="1"/>
        <v>----</v>
      </c>
      <c r="I17" s="734"/>
      <c r="J17" s="808" t="str">
        <f t="shared" si="2"/>
        <v>----</v>
      </c>
    </row>
    <row r="18" spans="1:10">
      <c r="A18" s="102"/>
      <c r="B18" s="103"/>
      <c r="C18" s="770"/>
      <c r="D18" s="729"/>
      <c r="E18" s="739"/>
      <c r="F18" s="807" t="str">
        <f t="shared" si="0"/>
        <v>----</v>
      </c>
      <c r="G18" s="739"/>
      <c r="H18" s="807" t="str">
        <f t="shared" si="1"/>
        <v>----</v>
      </c>
      <c r="I18" s="734"/>
      <c r="J18" s="808" t="str">
        <f t="shared" si="2"/>
        <v>----</v>
      </c>
    </row>
    <row r="19" spans="1:10">
      <c r="A19" s="102"/>
      <c r="B19" s="103"/>
      <c r="C19" s="770"/>
      <c r="D19" s="729"/>
      <c r="E19" s="739"/>
      <c r="F19" s="807" t="str">
        <f t="shared" si="0"/>
        <v>----</v>
      </c>
      <c r="G19" s="739"/>
      <c r="H19" s="807" t="str">
        <f t="shared" si="1"/>
        <v>----</v>
      </c>
      <c r="I19" s="734"/>
      <c r="J19" s="808" t="str">
        <f t="shared" si="2"/>
        <v>----</v>
      </c>
    </row>
    <row r="20" spans="1:10">
      <c r="A20" s="102"/>
      <c r="B20" s="103"/>
      <c r="C20" s="770"/>
      <c r="D20" s="729"/>
      <c r="E20" s="739"/>
      <c r="F20" s="807" t="str">
        <f t="shared" si="0"/>
        <v>----</v>
      </c>
      <c r="G20" s="739"/>
      <c r="H20" s="807" t="str">
        <f t="shared" si="1"/>
        <v>----</v>
      </c>
      <c r="I20" s="734"/>
      <c r="J20" s="808" t="str">
        <f t="shared" si="2"/>
        <v>----</v>
      </c>
    </row>
    <row r="21" spans="1:10">
      <c r="A21" s="102"/>
      <c r="B21" s="103"/>
      <c r="C21" s="770"/>
      <c r="D21" s="729"/>
      <c r="E21" s="739"/>
      <c r="F21" s="807" t="str">
        <f t="shared" si="0"/>
        <v>----</v>
      </c>
      <c r="G21" s="739"/>
      <c r="H21" s="807" t="str">
        <f t="shared" si="1"/>
        <v>----</v>
      </c>
      <c r="I21" s="734"/>
      <c r="J21" s="808" t="str">
        <f t="shared" si="2"/>
        <v>----</v>
      </c>
    </row>
    <row r="22" spans="1:10">
      <c r="A22" s="102"/>
      <c r="B22" s="103"/>
      <c r="C22" s="770"/>
      <c r="D22" s="729"/>
      <c r="E22" s="739"/>
      <c r="F22" s="807" t="str">
        <f t="shared" si="0"/>
        <v>----</v>
      </c>
      <c r="G22" s="739"/>
      <c r="H22" s="807" t="str">
        <f t="shared" si="1"/>
        <v>----</v>
      </c>
      <c r="I22" s="734"/>
      <c r="J22" s="808" t="str">
        <f t="shared" si="2"/>
        <v>----</v>
      </c>
    </row>
    <row r="23" spans="1:10">
      <c r="A23" s="116"/>
      <c r="B23" s="117"/>
      <c r="C23" s="773"/>
      <c r="D23" s="789"/>
      <c r="E23" s="740"/>
      <c r="F23" s="807" t="str">
        <f t="shared" si="0"/>
        <v>----</v>
      </c>
      <c r="G23" s="740"/>
      <c r="H23" s="807" t="str">
        <f t="shared" si="1"/>
        <v>----</v>
      </c>
      <c r="I23" s="735"/>
      <c r="J23" s="808" t="str">
        <f t="shared" si="2"/>
        <v>----</v>
      </c>
    </row>
    <row r="24" spans="1:10" ht="15.75" thickBot="1">
      <c r="A24" s="74"/>
      <c r="B24" s="75"/>
      <c r="C24" s="783"/>
      <c r="D24" s="790"/>
      <c r="E24" s="796"/>
      <c r="F24" s="801" t="str">
        <f t="shared" si="0"/>
        <v>----</v>
      </c>
      <c r="G24" s="796"/>
      <c r="H24" s="801" t="str">
        <f t="shared" si="1"/>
        <v>----</v>
      </c>
      <c r="I24" s="793"/>
      <c r="J24" s="802" t="str">
        <f t="shared" si="2"/>
        <v>----</v>
      </c>
    </row>
    <row r="25" spans="1:10" ht="15.75" thickBot="1">
      <c r="A25" s="27"/>
      <c r="B25" s="27"/>
      <c r="C25" s="814"/>
      <c r="D25" s="814"/>
      <c r="E25" s="814"/>
      <c r="F25" s="815">
        <f>SUM(F4:F24)</f>
        <v>0</v>
      </c>
      <c r="G25" s="814"/>
      <c r="H25" s="815">
        <f>SUM(H4:H24)</f>
        <v>-33470.170000000042</v>
      </c>
      <c r="I25" s="814"/>
      <c r="J25" s="815">
        <f>SUM(J4:J24)</f>
        <v>0</v>
      </c>
    </row>
  </sheetData>
  <mergeCells count="9">
    <mergeCell ref="A8:A9"/>
    <mergeCell ref="A1:J1"/>
    <mergeCell ref="E2:F2"/>
    <mergeCell ref="I2:J2"/>
    <mergeCell ref="A2:A3"/>
    <mergeCell ref="B2:B3"/>
    <mergeCell ref="C2:C3"/>
    <mergeCell ref="D2:D3"/>
    <mergeCell ref="G2:H2"/>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BD072-7A10-40A0-B082-501CE4EC7EFE}">
  <dimension ref="A1:K24"/>
  <sheetViews>
    <sheetView workbookViewId="0">
      <selection activeCell="O22" sqref="O22"/>
    </sheetView>
  </sheetViews>
  <sheetFormatPr defaultRowHeight="15"/>
  <cols>
    <col min="2" max="2" width="22.85546875" bestFit="1" customWidth="1"/>
    <col min="3" max="4" width="10.7109375" bestFit="1" customWidth="1"/>
    <col min="5" max="8" width="9.140625" style="432"/>
  </cols>
  <sheetData>
    <row r="1" spans="1:11" ht="15.75" thickBot="1">
      <c r="A1" s="952" t="s">
        <v>274</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69" thickBot="1">
      <c r="A3" s="960"/>
      <c r="B3" s="962"/>
      <c r="C3" s="962"/>
      <c r="D3" s="974"/>
      <c r="E3" s="460" t="s">
        <v>121</v>
      </c>
      <c r="F3" s="468" t="s">
        <v>113</v>
      </c>
      <c r="G3" s="460" t="s">
        <v>121</v>
      </c>
      <c r="H3" s="468" t="s">
        <v>113</v>
      </c>
      <c r="I3" s="478" t="s">
        <v>121</v>
      </c>
      <c r="J3" s="25" t="s">
        <v>113</v>
      </c>
    </row>
    <row r="4" spans="1:11">
      <c r="A4" s="70">
        <v>44733</v>
      </c>
      <c r="B4" s="257" t="s">
        <v>538</v>
      </c>
      <c r="C4" s="72">
        <v>614467</v>
      </c>
      <c r="D4" s="429">
        <f>C4</f>
        <v>614467</v>
      </c>
      <c r="E4" s="469"/>
      <c r="F4" s="470" t="str">
        <f t="shared" ref="F4:F23" si="0">IF(ISBLANK(E4),"----",E4-D4)</f>
        <v>----</v>
      </c>
      <c r="G4" s="469"/>
      <c r="H4" s="470" t="str">
        <f t="shared" ref="H4:H23" si="1">IF(OR(G4="Complete",ISBLANK(G4)),"----",G4-$D4)</f>
        <v>----</v>
      </c>
      <c r="I4" s="479"/>
      <c r="J4" s="73" t="str">
        <f t="shared" ref="J4:J23" si="2">IF(OR(I4="Complete",ISBLANK(I4)),"----",I4-$D4)</f>
        <v>----</v>
      </c>
    </row>
    <row r="5" spans="1:11">
      <c r="A5" s="88">
        <v>45398</v>
      </c>
      <c r="B5" s="258" t="s">
        <v>740</v>
      </c>
      <c r="C5" s="457">
        <v>963154.8</v>
      </c>
      <c r="D5" s="504">
        <f>C5-32000</f>
        <v>931154.8</v>
      </c>
      <c r="E5" s="471"/>
      <c r="F5" s="472" t="str">
        <f t="shared" si="0"/>
        <v>----</v>
      </c>
      <c r="G5" s="471"/>
      <c r="H5" s="472" t="str">
        <f t="shared" si="1"/>
        <v>----</v>
      </c>
      <c r="I5" s="484"/>
      <c r="J5" s="83" t="str">
        <f t="shared" si="2"/>
        <v>----</v>
      </c>
      <c r="K5" t="s">
        <v>741</v>
      </c>
    </row>
    <row r="6" spans="1:11">
      <c r="A6" s="88"/>
      <c r="B6" s="258"/>
      <c r="C6" s="82"/>
      <c r="D6" s="431"/>
      <c r="E6" s="471"/>
      <c r="F6" s="472" t="str">
        <f t="shared" si="0"/>
        <v>----</v>
      </c>
      <c r="G6" s="471"/>
      <c r="H6" s="472" t="str">
        <f t="shared" si="1"/>
        <v>----</v>
      </c>
      <c r="I6" s="484"/>
      <c r="J6" s="83" t="str">
        <f t="shared" si="2"/>
        <v>----</v>
      </c>
    </row>
    <row r="7" spans="1:11">
      <c r="A7" s="88"/>
      <c r="B7" s="258"/>
      <c r="C7" s="82"/>
      <c r="D7" s="431"/>
      <c r="E7" s="471"/>
      <c r="F7" s="472" t="str">
        <f t="shared" si="0"/>
        <v>----</v>
      </c>
      <c r="G7" s="471"/>
      <c r="H7" s="472" t="str">
        <f t="shared" si="1"/>
        <v>----</v>
      </c>
      <c r="I7" s="484"/>
      <c r="J7" s="83" t="str">
        <f t="shared" si="2"/>
        <v>----</v>
      </c>
    </row>
    <row r="8" spans="1:11">
      <c r="A8" s="88"/>
      <c r="B8" s="258"/>
      <c r="C8" s="82"/>
      <c r="D8" s="431"/>
      <c r="E8" s="471"/>
      <c r="F8" s="472" t="str">
        <f t="shared" si="0"/>
        <v>----</v>
      </c>
      <c r="G8" s="471"/>
      <c r="H8" s="472" t="str">
        <f t="shared" si="1"/>
        <v>----</v>
      </c>
      <c r="I8" s="484"/>
      <c r="J8" s="83" t="str">
        <f t="shared" si="2"/>
        <v>----</v>
      </c>
    </row>
    <row r="9" spans="1:11">
      <c r="A9" s="88"/>
      <c r="B9" s="258"/>
      <c r="C9" s="82"/>
      <c r="D9" s="431"/>
      <c r="E9" s="471"/>
      <c r="F9" s="472" t="str">
        <f t="shared" si="0"/>
        <v>----</v>
      </c>
      <c r="G9" s="471"/>
      <c r="H9" s="472" t="str">
        <f t="shared" si="1"/>
        <v>----</v>
      </c>
      <c r="I9" s="484"/>
      <c r="J9" s="83" t="str">
        <f t="shared" si="2"/>
        <v>----</v>
      </c>
    </row>
    <row r="10" spans="1:11">
      <c r="A10" s="88"/>
      <c r="B10" s="258"/>
      <c r="C10" s="82"/>
      <c r="D10" s="431"/>
      <c r="E10" s="471"/>
      <c r="F10" s="472" t="str">
        <f t="shared" si="0"/>
        <v>----</v>
      </c>
      <c r="G10" s="471"/>
      <c r="H10" s="472" t="str">
        <f t="shared" si="1"/>
        <v>----</v>
      </c>
      <c r="I10" s="484"/>
      <c r="J10" s="83" t="str">
        <f t="shared" si="2"/>
        <v>----</v>
      </c>
    </row>
    <row r="11" spans="1:11">
      <c r="A11" s="88"/>
      <c r="B11" s="258"/>
      <c r="C11" s="82"/>
      <c r="D11" s="431"/>
      <c r="E11" s="471"/>
      <c r="F11" s="472" t="str">
        <f t="shared" si="0"/>
        <v>----</v>
      </c>
      <c r="G11" s="471"/>
      <c r="H11" s="472" t="str">
        <f t="shared" si="1"/>
        <v>----</v>
      </c>
      <c r="I11" s="484"/>
      <c r="J11" s="83" t="str">
        <f t="shared" si="2"/>
        <v>----</v>
      </c>
    </row>
    <row r="12" spans="1:11">
      <c r="A12" s="88"/>
      <c r="B12" s="258"/>
      <c r="C12" s="82"/>
      <c r="D12" s="431"/>
      <c r="E12" s="471"/>
      <c r="F12" s="472" t="str">
        <f t="shared" si="0"/>
        <v>----</v>
      </c>
      <c r="G12" s="471"/>
      <c r="H12" s="472" t="str">
        <f t="shared" si="1"/>
        <v>----</v>
      </c>
      <c r="I12" s="484"/>
      <c r="J12" s="83" t="str">
        <f t="shared" si="2"/>
        <v>----</v>
      </c>
    </row>
    <row r="13" spans="1:11">
      <c r="A13" s="88"/>
      <c r="B13" s="258"/>
      <c r="C13" s="82"/>
      <c r="D13" s="431"/>
      <c r="E13" s="471"/>
      <c r="F13" s="472" t="str">
        <f t="shared" si="0"/>
        <v>----</v>
      </c>
      <c r="G13" s="471"/>
      <c r="H13" s="472" t="str">
        <f t="shared" si="1"/>
        <v>----</v>
      </c>
      <c r="I13" s="484"/>
      <c r="J13" s="83" t="str">
        <f t="shared" si="2"/>
        <v>----</v>
      </c>
    </row>
    <row r="14" spans="1:11">
      <c r="A14" s="88"/>
      <c r="B14" s="258"/>
      <c r="C14" s="82"/>
      <c r="D14" s="431"/>
      <c r="E14" s="471"/>
      <c r="F14" s="472" t="str">
        <f t="shared" si="0"/>
        <v>----</v>
      </c>
      <c r="G14" s="471"/>
      <c r="H14" s="472" t="str">
        <f t="shared" si="1"/>
        <v>----</v>
      </c>
      <c r="I14" s="484"/>
      <c r="J14" s="83" t="str">
        <f t="shared" si="2"/>
        <v>----</v>
      </c>
    </row>
    <row r="15" spans="1:11">
      <c r="A15" s="88"/>
      <c r="B15" s="258"/>
      <c r="C15" s="82"/>
      <c r="D15" s="431"/>
      <c r="E15" s="471"/>
      <c r="F15" s="472" t="str">
        <f t="shared" si="0"/>
        <v>----</v>
      </c>
      <c r="G15" s="471"/>
      <c r="H15" s="472" t="str">
        <f t="shared" si="1"/>
        <v>----</v>
      </c>
      <c r="I15" s="484"/>
      <c r="J15" s="83" t="str">
        <f t="shared" si="2"/>
        <v>----</v>
      </c>
    </row>
    <row r="16" spans="1:11">
      <c r="A16" s="88"/>
      <c r="B16" s="258"/>
      <c r="C16" s="82"/>
      <c r="D16" s="431"/>
      <c r="E16" s="471"/>
      <c r="F16" s="472" t="str">
        <f t="shared" si="0"/>
        <v>----</v>
      </c>
      <c r="G16" s="471"/>
      <c r="H16" s="472" t="str">
        <f t="shared" si="1"/>
        <v>----</v>
      </c>
      <c r="I16" s="484"/>
      <c r="J16" s="83" t="str">
        <f t="shared" si="2"/>
        <v>----</v>
      </c>
    </row>
    <row r="17" spans="1:10">
      <c r="A17" s="88"/>
      <c r="B17" s="258"/>
      <c r="C17" s="82"/>
      <c r="D17" s="431"/>
      <c r="E17" s="471"/>
      <c r="F17" s="472" t="str">
        <f t="shared" si="0"/>
        <v>----</v>
      </c>
      <c r="G17" s="471"/>
      <c r="H17" s="472" t="str">
        <f t="shared" si="1"/>
        <v>----</v>
      </c>
      <c r="I17" s="484"/>
      <c r="J17" s="83" t="str">
        <f t="shared" si="2"/>
        <v>----</v>
      </c>
    </row>
    <row r="18" spans="1:10">
      <c r="A18" s="88"/>
      <c r="B18" s="258"/>
      <c r="C18" s="82"/>
      <c r="D18" s="431"/>
      <c r="E18" s="471"/>
      <c r="F18" s="472" t="str">
        <f t="shared" si="0"/>
        <v>----</v>
      </c>
      <c r="G18" s="471"/>
      <c r="H18" s="472" t="str">
        <f t="shared" si="1"/>
        <v>----</v>
      </c>
      <c r="I18" s="484"/>
      <c r="J18" s="83" t="str">
        <f t="shared" si="2"/>
        <v>----</v>
      </c>
    </row>
    <row r="19" spans="1:10">
      <c r="A19" s="88"/>
      <c r="B19" s="258"/>
      <c r="C19" s="82"/>
      <c r="D19" s="431"/>
      <c r="E19" s="471"/>
      <c r="F19" s="472" t="str">
        <f t="shared" si="0"/>
        <v>----</v>
      </c>
      <c r="G19" s="471"/>
      <c r="H19" s="472" t="str">
        <f t="shared" si="1"/>
        <v>----</v>
      </c>
      <c r="I19" s="484"/>
      <c r="J19" s="83" t="str">
        <f t="shared" si="2"/>
        <v>----</v>
      </c>
    </row>
    <row r="20" spans="1:10">
      <c r="A20" s="88"/>
      <c r="B20" s="258"/>
      <c r="C20" s="82"/>
      <c r="D20" s="431"/>
      <c r="E20" s="471"/>
      <c r="F20" s="472" t="str">
        <f t="shared" si="0"/>
        <v>----</v>
      </c>
      <c r="G20" s="471"/>
      <c r="H20" s="472" t="str">
        <f t="shared" si="1"/>
        <v>----</v>
      </c>
      <c r="I20" s="484"/>
      <c r="J20" s="83" t="str">
        <f t="shared" si="2"/>
        <v>----</v>
      </c>
    </row>
    <row r="21" spans="1:10">
      <c r="A21" s="88"/>
      <c r="B21" s="258"/>
      <c r="C21" s="82"/>
      <c r="D21" s="431"/>
      <c r="E21" s="471"/>
      <c r="F21" s="472" t="str">
        <f t="shared" si="0"/>
        <v>----</v>
      </c>
      <c r="G21" s="471"/>
      <c r="H21" s="472" t="str">
        <f t="shared" si="1"/>
        <v>----</v>
      </c>
      <c r="I21" s="484"/>
      <c r="J21" s="83" t="str">
        <f t="shared" si="2"/>
        <v>----</v>
      </c>
    </row>
    <row r="22" spans="1:10">
      <c r="A22" s="91"/>
      <c r="B22" s="260"/>
      <c r="C22" s="84"/>
      <c r="D22" s="477"/>
      <c r="E22" s="482"/>
      <c r="F22" s="483" t="str">
        <f t="shared" si="0"/>
        <v>----</v>
      </c>
      <c r="G22" s="482"/>
      <c r="H22" s="483" t="str">
        <f t="shared" si="1"/>
        <v>----</v>
      </c>
      <c r="I22" s="480"/>
      <c r="J22" s="85" t="str">
        <f t="shared" si="2"/>
        <v>----</v>
      </c>
    </row>
    <row r="23" spans="1:10" ht="15.75" thickBot="1">
      <c r="A23" s="74"/>
      <c r="B23" s="75"/>
      <c r="C23" s="76"/>
      <c r="D23" s="430"/>
      <c r="E23" s="475"/>
      <c r="F23" s="476" t="str">
        <f t="shared" si="0"/>
        <v>----</v>
      </c>
      <c r="G23" s="475"/>
      <c r="H23" s="476" t="str">
        <f t="shared" si="1"/>
        <v>----</v>
      </c>
      <c r="I23" s="481"/>
      <c r="J23" s="77" t="str">
        <f t="shared" si="2"/>
        <v>----</v>
      </c>
    </row>
    <row r="24" spans="1:10" ht="15.75" thickBot="1">
      <c r="A24" s="27"/>
      <c r="B24" s="27"/>
      <c r="C24" s="28"/>
      <c r="D24" s="28"/>
      <c r="E24" s="439"/>
      <c r="F24" s="441">
        <f>SUM(F4:F23)</f>
        <v>0</v>
      </c>
      <c r="G24" s="439"/>
      <c r="H24" s="441">
        <f>SUM(H4:H23)</f>
        <v>0</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614ED-1CEA-43E4-A172-9A3F30EE8133}">
  <dimension ref="A1:J20"/>
  <sheetViews>
    <sheetView workbookViewId="0">
      <selection activeCell="I8" sqref="I8"/>
    </sheetView>
  </sheetViews>
  <sheetFormatPr defaultRowHeight="15"/>
  <cols>
    <col min="2" max="2" width="22.85546875" bestFit="1" customWidth="1"/>
    <col min="3" max="4" width="12" bestFit="1" customWidth="1"/>
    <col min="5" max="5" width="10.7109375" style="432" bestFit="1" customWidth="1"/>
    <col min="6" max="6" width="9.85546875" style="432" bestFit="1" customWidth="1"/>
    <col min="7" max="7" width="10.7109375" style="432" bestFit="1" customWidth="1"/>
    <col min="8" max="8" width="10.42578125" style="432" bestFit="1" customWidth="1"/>
    <col min="9" max="9" width="10.7109375" bestFit="1" customWidth="1"/>
    <col min="10" max="10" width="10.42578125" bestFit="1" customWidth="1"/>
  </cols>
  <sheetData>
    <row r="1" spans="1:10" ht="15.75" thickBot="1">
      <c r="A1" s="952" t="s">
        <v>275</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57.75" thickBot="1">
      <c r="A3" s="960"/>
      <c r="B3" s="962"/>
      <c r="C3" s="962"/>
      <c r="D3" s="974"/>
      <c r="E3" s="460" t="s">
        <v>121</v>
      </c>
      <c r="F3" s="468" t="s">
        <v>113</v>
      </c>
      <c r="G3" s="460" t="s">
        <v>121</v>
      </c>
      <c r="H3" s="468" t="s">
        <v>113</v>
      </c>
      <c r="I3" s="478" t="s">
        <v>121</v>
      </c>
      <c r="J3" s="25" t="s">
        <v>113</v>
      </c>
    </row>
    <row r="4" spans="1:10">
      <c r="A4" s="70">
        <v>44180</v>
      </c>
      <c r="B4" s="71" t="s">
        <v>364</v>
      </c>
      <c r="C4" s="781">
        <v>736617.42</v>
      </c>
      <c r="D4" s="787">
        <f>C4</f>
        <v>736617.42</v>
      </c>
      <c r="E4" s="794">
        <v>741305.23</v>
      </c>
      <c r="F4" s="803">
        <f t="shared" ref="F4:F19" si="0">IF(ISBLANK(E4),"----",E4-D4)</f>
        <v>4687.8099999999395</v>
      </c>
      <c r="G4" s="794" t="s">
        <v>703</v>
      </c>
      <c r="H4" s="803" t="str">
        <f t="shared" ref="H4:H19" si="1">IF(OR(G4="Complete",ISBLANK(G4)),"----",G4-$D4)</f>
        <v>----</v>
      </c>
      <c r="I4" s="791" t="s">
        <v>703</v>
      </c>
      <c r="J4" s="804" t="str">
        <f t="shared" ref="J4:J19" si="2">IF(OR(I4="Complete",ISBLANK(I4)),"----",I4-$D4)</f>
        <v>----</v>
      </c>
    </row>
    <row r="5" spans="1:10">
      <c r="A5" s="88">
        <v>44271</v>
      </c>
      <c r="B5" s="101" t="s">
        <v>407</v>
      </c>
      <c r="C5" s="784">
        <v>675856.4</v>
      </c>
      <c r="D5" s="788">
        <v>484686.4</v>
      </c>
      <c r="E5" s="795"/>
      <c r="F5" s="807" t="str">
        <f t="shared" si="0"/>
        <v>----</v>
      </c>
      <c r="G5" s="805"/>
      <c r="H5" s="807" t="str">
        <f t="shared" si="1"/>
        <v>----</v>
      </c>
      <c r="I5" s="806"/>
      <c r="J5" s="808" t="str">
        <f t="shared" si="2"/>
        <v>----</v>
      </c>
    </row>
    <row r="6" spans="1:10">
      <c r="A6" s="91">
        <v>44670</v>
      </c>
      <c r="B6" s="92" t="s">
        <v>516</v>
      </c>
      <c r="C6" s="782">
        <v>398346.3</v>
      </c>
      <c r="D6" s="797">
        <f>C6</f>
        <v>398346.3</v>
      </c>
      <c r="E6" s="799"/>
      <c r="F6" s="662" t="str">
        <f t="shared" si="0"/>
        <v>----</v>
      </c>
      <c r="G6" s="799">
        <v>380928.98</v>
      </c>
      <c r="H6" s="807">
        <f t="shared" si="1"/>
        <v>-17417.320000000007</v>
      </c>
      <c r="I6" s="798" t="s">
        <v>703</v>
      </c>
      <c r="J6" s="808" t="str">
        <f t="shared" si="2"/>
        <v>----</v>
      </c>
    </row>
    <row r="7" spans="1:10">
      <c r="A7" s="88">
        <v>45006</v>
      </c>
      <c r="B7" s="369" t="s">
        <v>642</v>
      </c>
      <c r="C7" s="784">
        <v>1071339.8999999999</v>
      </c>
      <c r="D7" s="788">
        <f>C7</f>
        <v>1071339.8999999999</v>
      </c>
      <c r="E7" s="795"/>
      <c r="F7" s="807" t="str">
        <f t="shared" si="0"/>
        <v>----</v>
      </c>
      <c r="G7" s="795"/>
      <c r="H7" s="807" t="str">
        <f t="shared" si="1"/>
        <v>----</v>
      </c>
      <c r="I7" s="792">
        <v>1191713.6000000001</v>
      </c>
      <c r="J7" s="808">
        <f t="shared" si="2"/>
        <v>120373.70000000019</v>
      </c>
    </row>
    <row r="8" spans="1:10">
      <c r="A8" s="91">
        <v>45706</v>
      </c>
      <c r="B8" s="411" t="s">
        <v>846</v>
      </c>
      <c r="C8" s="782">
        <v>498494.64</v>
      </c>
      <c r="D8" s="797">
        <f>C8</f>
        <v>498494.64</v>
      </c>
      <c r="E8" s="799"/>
      <c r="F8" s="662" t="str">
        <f t="shared" si="0"/>
        <v>----</v>
      </c>
      <c r="G8" s="799"/>
      <c r="H8" s="662" t="str">
        <f t="shared" si="1"/>
        <v>----</v>
      </c>
      <c r="I8" s="798"/>
      <c r="J8" s="663" t="str">
        <f t="shared" si="2"/>
        <v>----</v>
      </c>
    </row>
    <row r="9" spans="1:10">
      <c r="A9" s="88"/>
      <c r="B9" s="101"/>
      <c r="C9" s="784"/>
      <c r="D9" s="788"/>
      <c r="E9" s="795"/>
      <c r="F9" s="807" t="str">
        <f t="shared" si="0"/>
        <v>----</v>
      </c>
      <c r="G9" s="795"/>
      <c r="H9" s="807" t="str">
        <f t="shared" si="1"/>
        <v>----</v>
      </c>
      <c r="I9" s="792"/>
      <c r="J9" s="808" t="str">
        <f t="shared" si="2"/>
        <v>----</v>
      </c>
    </row>
    <row r="10" spans="1:10">
      <c r="A10" s="91"/>
      <c r="B10" s="92"/>
      <c r="C10" s="782"/>
      <c r="D10" s="797"/>
      <c r="E10" s="799"/>
      <c r="F10" s="662" t="str">
        <f t="shared" si="0"/>
        <v>----</v>
      </c>
      <c r="G10" s="799"/>
      <c r="H10" s="662" t="str">
        <f t="shared" si="1"/>
        <v>----</v>
      </c>
      <c r="I10" s="798"/>
      <c r="J10" s="663" t="str">
        <f t="shared" si="2"/>
        <v>----</v>
      </c>
    </row>
    <row r="11" spans="1:10">
      <c r="A11" s="88"/>
      <c r="B11" s="101"/>
      <c r="C11" s="784"/>
      <c r="D11" s="788"/>
      <c r="E11" s="795"/>
      <c r="F11" s="807" t="str">
        <f t="shared" si="0"/>
        <v>----</v>
      </c>
      <c r="G11" s="795"/>
      <c r="H11" s="807" t="str">
        <f t="shared" si="1"/>
        <v>----</v>
      </c>
      <c r="I11" s="792"/>
      <c r="J11" s="808" t="str">
        <f t="shared" si="2"/>
        <v>----</v>
      </c>
    </row>
    <row r="12" spans="1:10">
      <c r="A12" s="91"/>
      <c r="B12" s="92"/>
      <c r="C12" s="782"/>
      <c r="D12" s="797"/>
      <c r="E12" s="799"/>
      <c r="F12" s="662" t="str">
        <f t="shared" si="0"/>
        <v>----</v>
      </c>
      <c r="G12" s="799"/>
      <c r="H12" s="662" t="str">
        <f t="shared" si="1"/>
        <v>----</v>
      </c>
      <c r="I12" s="798"/>
      <c r="J12" s="663" t="str">
        <f t="shared" si="2"/>
        <v>----</v>
      </c>
    </row>
    <row r="13" spans="1:10">
      <c r="A13" s="88"/>
      <c r="B13" s="101"/>
      <c r="C13" s="784"/>
      <c r="D13" s="788"/>
      <c r="E13" s="795"/>
      <c r="F13" s="807" t="str">
        <f t="shared" si="0"/>
        <v>----</v>
      </c>
      <c r="G13" s="795"/>
      <c r="H13" s="807" t="str">
        <f t="shared" si="1"/>
        <v>----</v>
      </c>
      <c r="I13" s="792"/>
      <c r="J13" s="808" t="str">
        <f t="shared" si="2"/>
        <v>----</v>
      </c>
    </row>
    <row r="14" spans="1:10">
      <c r="A14" s="91"/>
      <c r="B14" s="92"/>
      <c r="C14" s="782"/>
      <c r="D14" s="797"/>
      <c r="E14" s="799"/>
      <c r="F14" s="662" t="str">
        <f t="shared" si="0"/>
        <v>----</v>
      </c>
      <c r="G14" s="799"/>
      <c r="H14" s="662" t="str">
        <f t="shared" si="1"/>
        <v>----</v>
      </c>
      <c r="I14" s="798"/>
      <c r="J14" s="663" t="str">
        <f t="shared" si="2"/>
        <v>----</v>
      </c>
    </row>
    <row r="15" spans="1:10">
      <c r="A15" s="88"/>
      <c r="B15" s="101"/>
      <c r="C15" s="784"/>
      <c r="D15" s="788"/>
      <c r="E15" s="795"/>
      <c r="F15" s="807" t="str">
        <f t="shared" si="0"/>
        <v>----</v>
      </c>
      <c r="G15" s="795"/>
      <c r="H15" s="807" t="str">
        <f t="shared" si="1"/>
        <v>----</v>
      </c>
      <c r="I15" s="792"/>
      <c r="J15" s="808" t="str">
        <f t="shared" si="2"/>
        <v>----</v>
      </c>
    </row>
    <row r="16" spans="1:10">
      <c r="A16" s="91"/>
      <c r="B16" s="92"/>
      <c r="C16" s="782"/>
      <c r="D16" s="797"/>
      <c r="E16" s="799"/>
      <c r="F16" s="662" t="str">
        <f t="shared" si="0"/>
        <v>----</v>
      </c>
      <c r="G16" s="799"/>
      <c r="H16" s="662" t="str">
        <f t="shared" si="1"/>
        <v>----</v>
      </c>
      <c r="I16" s="798"/>
      <c r="J16" s="663" t="str">
        <f t="shared" si="2"/>
        <v>----</v>
      </c>
    </row>
    <row r="17" spans="1:10">
      <c r="A17" s="88"/>
      <c r="B17" s="101"/>
      <c r="C17" s="784"/>
      <c r="D17" s="788"/>
      <c r="E17" s="795"/>
      <c r="F17" s="807" t="str">
        <f t="shared" si="0"/>
        <v>----</v>
      </c>
      <c r="G17" s="795"/>
      <c r="H17" s="807" t="str">
        <f t="shared" si="1"/>
        <v>----</v>
      </c>
      <c r="I17" s="792"/>
      <c r="J17" s="808" t="str">
        <f t="shared" si="2"/>
        <v>----</v>
      </c>
    </row>
    <row r="18" spans="1:10">
      <c r="A18" s="91"/>
      <c r="B18" s="92"/>
      <c r="C18" s="782"/>
      <c r="D18" s="797"/>
      <c r="E18" s="799"/>
      <c r="F18" s="662" t="str">
        <f t="shared" si="0"/>
        <v>----</v>
      </c>
      <c r="G18" s="799"/>
      <c r="H18" s="662" t="str">
        <f t="shared" si="1"/>
        <v>----</v>
      </c>
      <c r="I18" s="798"/>
      <c r="J18" s="663" t="str">
        <f t="shared" si="2"/>
        <v>----</v>
      </c>
    </row>
    <row r="19" spans="1:10" ht="15.75" thickBot="1">
      <c r="A19" s="74"/>
      <c r="B19" s="75"/>
      <c r="C19" s="783"/>
      <c r="D19" s="790"/>
      <c r="E19" s="796"/>
      <c r="F19" s="801" t="str">
        <f t="shared" si="0"/>
        <v>----</v>
      </c>
      <c r="G19" s="796"/>
      <c r="H19" s="801" t="str">
        <f t="shared" si="1"/>
        <v>----</v>
      </c>
      <c r="I19" s="793"/>
      <c r="J19" s="802" t="str">
        <f t="shared" si="2"/>
        <v>----</v>
      </c>
    </row>
    <row r="20" spans="1:10" ht="15.75" thickBot="1">
      <c r="A20" s="27"/>
      <c r="B20" s="27"/>
      <c r="C20" s="814"/>
      <c r="D20" s="814"/>
      <c r="E20" s="814"/>
      <c r="F20" s="815">
        <f>SUM(F4:F19)</f>
        <v>4687.8099999999395</v>
      </c>
      <c r="G20" s="814"/>
      <c r="H20" s="815">
        <f>SUM(H4:H19)</f>
        <v>-17417.320000000007</v>
      </c>
      <c r="I20" s="814"/>
      <c r="J20" s="815">
        <f>SUM(J4:J19)</f>
        <v>120373.70000000019</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C26A-DBD5-4991-BE38-41E5CD50CD58}">
  <dimension ref="A1:K21"/>
  <sheetViews>
    <sheetView workbookViewId="0">
      <selection activeCell="K9" sqref="K9"/>
    </sheetView>
  </sheetViews>
  <sheetFormatPr defaultRowHeight="15"/>
  <cols>
    <col min="2" max="2" width="24.28515625" customWidth="1"/>
    <col min="3" max="3" width="10.7109375" bestFit="1" customWidth="1"/>
    <col min="4" max="4" width="12.28515625" customWidth="1"/>
    <col min="5" max="5" width="10.5703125" style="432" customWidth="1"/>
    <col min="6" max="6" width="11.5703125" style="432" customWidth="1"/>
    <col min="7" max="7" width="10.5703125" style="432" customWidth="1"/>
    <col min="8" max="8" width="11.5703125" style="432" customWidth="1"/>
    <col min="9" max="9" width="10.5703125" customWidth="1"/>
    <col min="10" max="10" width="11.5703125" customWidth="1"/>
  </cols>
  <sheetData>
    <row r="1" spans="1:11" ht="15.75" thickBot="1">
      <c r="A1" s="952" t="s">
        <v>134</v>
      </c>
      <c r="B1" s="953"/>
      <c r="C1" s="953"/>
      <c r="D1" s="953"/>
      <c r="E1" s="953"/>
      <c r="F1" s="953"/>
      <c r="G1" s="953"/>
      <c r="H1" s="953"/>
      <c r="I1" s="953"/>
      <c r="J1" s="954"/>
    </row>
    <row r="2" spans="1:11" s="432" customFormat="1" ht="15" customHeight="1">
      <c r="A2" s="959" t="s">
        <v>110</v>
      </c>
      <c r="B2" s="961" t="s">
        <v>111</v>
      </c>
      <c r="C2" s="961" t="s">
        <v>112</v>
      </c>
      <c r="D2" s="963" t="s">
        <v>120</v>
      </c>
      <c r="E2" s="957" t="s">
        <v>701</v>
      </c>
      <c r="F2" s="958"/>
      <c r="G2" s="957" t="s">
        <v>702</v>
      </c>
      <c r="H2" s="958"/>
      <c r="I2" s="932" t="s">
        <v>796</v>
      </c>
      <c r="J2" s="933"/>
    </row>
    <row r="3" spans="1:11" ht="57.75" thickBot="1">
      <c r="A3" s="960"/>
      <c r="B3" s="962"/>
      <c r="C3" s="962"/>
      <c r="D3" s="964"/>
      <c r="E3" s="460" t="s">
        <v>121</v>
      </c>
      <c r="F3" s="468" t="s">
        <v>704</v>
      </c>
      <c r="G3" s="460" t="s">
        <v>121</v>
      </c>
      <c r="H3" s="468" t="s">
        <v>704</v>
      </c>
      <c r="I3" s="478" t="s">
        <v>121</v>
      </c>
      <c r="J3" s="25" t="s">
        <v>704</v>
      </c>
    </row>
    <row r="4" spans="1:11">
      <c r="A4" s="70">
        <v>43788</v>
      </c>
      <c r="B4" s="71" t="s">
        <v>418</v>
      </c>
      <c r="C4" s="666">
        <v>271442.26</v>
      </c>
      <c r="D4" s="669">
        <f t="shared" ref="D4:D9" si="0">C4</f>
        <v>271442.26</v>
      </c>
      <c r="E4" s="679">
        <v>267887.15999999997</v>
      </c>
      <c r="F4" s="686">
        <f>IF(ISBLANK(E4),"----",E4-$D4)</f>
        <v>-3555.1000000000349</v>
      </c>
      <c r="G4" s="679" t="s">
        <v>703</v>
      </c>
      <c r="H4" s="686" t="str">
        <f t="shared" ref="H4:H19" si="1">IF(OR(G4="Complete",ISBLANK(G4)),"----",G4-$D4)</f>
        <v>----</v>
      </c>
      <c r="I4" s="674" t="s">
        <v>703</v>
      </c>
      <c r="J4" s="687" t="str">
        <f t="shared" ref="J4:J19" si="2">IF(OR(I4="Complete",ISBLANK(I4)),"----",I4-$D4)</f>
        <v>----</v>
      </c>
    </row>
    <row r="5" spans="1:11">
      <c r="A5" s="88">
        <v>44306</v>
      </c>
      <c r="B5" s="101" t="s">
        <v>417</v>
      </c>
      <c r="C5" s="668">
        <v>333064.84999999998</v>
      </c>
      <c r="D5" s="670">
        <f t="shared" si="0"/>
        <v>333064.84999999998</v>
      </c>
      <c r="E5" s="680">
        <v>330195.18</v>
      </c>
      <c r="F5" s="694">
        <f t="shared" ref="F5:F19" si="3">IF(ISBLANK(E5),"----",E5-$D5)</f>
        <v>-2869.6699999999837</v>
      </c>
      <c r="G5" s="680" t="s">
        <v>703</v>
      </c>
      <c r="H5" s="694" t="str">
        <f t="shared" si="1"/>
        <v>----</v>
      </c>
      <c r="I5" s="675" t="s">
        <v>703</v>
      </c>
      <c r="J5" s="695" t="str">
        <f t="shared" si="2"/>
        <v>----</v>
      </c>
    </row>
    <row r="6" spans="1:11">
      <c r="A6" s="102">
        <v>44880</v>
      </c>
      <c r="B6" s="103" t="s">
        <v>583</v>
      </c>
      <c r="C6" s="688">
        <v>584006.48</v>
      </c>
      <c r="D6" s="671">
        <f t="shared" si="0"/>
        <v>584006.48</v>
      </c>
      <c r="E6" s="681"/>
      <c r="F6" s="689" t="str">
        <f t="shared" si="3"/>
        <v>----</v>
      </c>
      <c r="G6" s="681">
        <v>569112.02</v>
      </c>
      <c r="H6" s="689">
        <f t="shared" si="1"/>
        <v>-14894.459999999963</v>
      </c>
      <c r="I6" s="676" t="s">
        <v>703</v>
      </c>
      <c r="J6" s="690" t="str">
        <f t="shared" si="2"/>
        <v>----</v>
      </c>
    </row>
    <row r="7" spans="1:11">
      <c r="A7" s="102">
        <v>45279</v>
      </c>
      <c r="B7" s="407" t="s">
        <v>685</v>
      </c>
      <c r="C7" s="688">
        <v>563972.6</v>
      </c>
      <c r="D7" s="671">
        <f t="shared" si="0"/>
        <v>563972.6</v>
      </c>
      <c r="E7" s="681"/>
      <c r="F7" s="689" t="str">
        <f t="shared" si="3"/>
        <v>----</v>
      </c>
      <c r="G7" s="681"/>
      <c r="H7" s="689" t="str">
        <f t="shared" si="1"/>
        <v>----</v>
      </c>
      <c r="I7" s="676">
        <v>550429.41</v>
      </c>
      <c r="J7" s="690">
        <f t="shared" si="2"/>
        <v>-13543.189999999944</v>
      </c>
    </row>
    <row r="8" spans="1:11">
      <c r="A8" s="102">
        <v>45279</v>
      </c>
      <c r="B8" s="407" t="s">
        <v>686</v>
      </c>
      <c r="C8" s="688">
        <v>742313.3</v>
      </c>
      <c r="D8" s="671">
        <f t="shared" si="0"/>
        <v>742313.3</v>
      </c>
      <c r="E8" s="681"/>
      <c r="F8" s="689" t="str">
        <f t="shared" si="3"/>
        <v>----</v>
      </c>
      <c r="G8" s="681"/>
      <c r="H8" s="689" t="str">
        <f t="shared" si="1"/>
        <v>----</v>
      </c>
      <c r="I8" s="676"/>
      <c r="J8" s="690" t="str">
        <f t="shared" si="2"/>
        <v>----</v>
      </c>
      <c r="K8" t="s">
        <v>899</v>
      </c>
    </row>
    <row r="9" spans="1:11">
      <c r="A9" s="664">
        <v>45643</v>
      </c>
      <c r="B9" s="665" t="s">
        <v>799</v>
      </c>
      <c r="C9" s="688">
        <v>1223739.1499999999</v>
      </c>
      <c r="D9" s="671">
        <f t="shared" si="0"/>
        <v>1223739.1499999999</v>
      </c>
      <c r="E9" s="681"/>
      <c r="F9" s="689" t="str">
        <f t="shared" si="3"/>
        <v>----</v>
      </c>
      <c r="G9" s="681"/>
      <c r="H9" s="689" t="str">
        <f t="shared" si="1"/>
        <v>----</v>
      </c>
      <c r="I9" s="676"/>
      <c r="J9" s="690" t="str">
        <f t="shared" si="2"/>
        <v>----</v>
      </c>
    </row>
    <row r="10" spans="1:11">
      <c r="A10" s="102"/>
      <c r="B10" s="103"/>
      <c r="C10" s="688"/>
      <c r="D10" s="671"/>
      <c r="E10" s="681"/>
      <c r="F10" s="689" t="str">
        <f t="shared" si="3"/>
        <v>----</v>
      </c>
      <c r="G10" s="681"/>
      <c r="H10" s="689" t="str">
        <f t="shared" si="1"/>
        <v>----</v>
      </c>
      <c r="I10" s="676"/>
      <c r="J10" s="690" t="str">
        <f t="shared" si="2"/>
        <v>----</v>
      </c>
    </row>
    <row r="11" spans="1:11">
      <c r="A11" s="102"/>
      <c r="B11" s="103"/>
      <c r="C11" s="688"/>
      <c r="D11" s="671"/>
      <c r="E11" s="681"/>
      <c r="F11" s="689" t="str">
        <f t="shared" si="3"/>
        <v>----</v>
      </c>
      <c r="G11" s="681"/>
      <c r="H11" s="689" t="str">
        <f t="shared" si="1"/>
        <v>----</v>
      </c>
      <c r="I11" s="676"/>
      <c r="J11" s="690" t="str">
        <f t="shared" si="2"/>
        <v>----</v>
      </c>
    </row>
    <row r="12" spans="1:11">
      <c r="A12" s="102"/>
      <c r="B12" s="103"/>
      <c r="C12" s="688"/>
      <c r="D12" s="671"/>
      <c r="E12" s="681"/>
      <c r="F12" s="689" t="str">
        <f t="shared" si="3"/>
        <v>----</v>
      </c>
      <c r="G12" s="681"/>
      <c r="H12" s="689" t="str">
        <f t="shared" si="1"/>
        <v>----</v>
      </c>
      <c r="I12" s="676"/>
      <c r="J12" s="690" t="str">
        <f t="shared" si="2"/>
        <v>----</v>
      </c>
    </row>
    <row r="13" spans="1:11">
      <c r="A13" s="102"/>
      <c r="B13" s="103"/>
      <c r="C13" s="688"/>
      <c r="D13" s="671"/>
      <c r="E13" s="681"/>
      <c r="F13" s="689" t="str">
        <f t="shared" si="3"/>
        <v>----</v>
      </c>
      <c r="G13" s="681"/>
      <c r="H13" s="689" t="str">
        <f t="shared" si="1"/>
        <v>----</v>
      </c>
      <c r="I13" s="676"/>
      <c r="J13" s="690" t="str">
        <f t="shared" si="2"/>
        <v>----</v>
      </c>
    </row>
    <row r="14" spans="1:11">
      <c r="A14" s="102"/>
      <c r="B14" s="103"/>
      <c r="C14" s="688"/>
      <c r="D14" s="671"/>
      <c r="E14" s="681"/>
      <c r="F14" s="689" t="str">
        <f t="shared" si="3"/>
        <v>----</v>
      </c>
      <c r="G14" s="681"/>
      <c r="H14" s="689" t="str">
        <f t="shared" si="1"/>
        <v>----</v>
      </c>
      <c r="I14" s="676"/>
      <c r="J14" s="690" t="str">
        <f t="shared" si="2"/>
        <v>----</v>
      </c>
    </row>
    <row r="15" spans="1:11">
      <c r="A15" s="102"/>
      <c r="B15" s="103"/>
      <c r="C15" s="688"/>
      <c r="D15" s="671"/>
      <c r="E15" s="681"/>
      <c r="F15" s="689" t="str">
        <f t="shared" si="3"/>
        <v>----</v>
      </c>
      <c r="G15" s="681"/>
      <c r="H15" s="689" t="str">
        <f t="shared" si="1"/>
        <v>----</v>
      </c>
      <c r="I15" s="676"/>
      <c r="J15" s="690" t="str">
        <f t="shared" si="2"/>
        <v>----</v>
      </c>
    </row>
    <row r="16" spans="1:11">
      <c r="A16" s="102"/>
      <c r="B16" s="103"/>
      <c r="C16" s="688"/>
      <c r="D16" s="671"/>
      <c r="E16" s="681"/>
      <c r="F16" s="689" t="str">
        <f t="shared" si="3"/>
        <v>----</v>
      </c>
      <c r="G16" s="681"/>
      <c r="H16" s="689" t="str">
        <f t="shared" si="1"/>
        <v>----</v>
      </c>
      <c r="I16" s="676"/>
      <c r="J16" s="690" t="str">
        <f t="shared" si="2"/>
        <v>----</v>
      </c>
    </row>
    <row r="17" spans="1:10">
      <c r="A17" s="102"/>
      <c r="B17" s="103"/>
      <c r="C17" s="688"/>
      <c r="D17" s="671"/>
      <c r="E17" s="681"/>
      <c r="F17" s="689" t="str">
        <f t="shared" si="3"/>
        <v>----</v>
      </c>
      <c r="G17" s="681"/>
      <c r="H17" s="689" t="str">
        <f t="shared" si="1"/>
        <v>----</v>
      </c>
      <c r="I17" s="676"/>
      <c r="J17" s="690" t="str">
        <f t="shared" si="2"/>
        <v>----</v>
      </c>
    </row>
    <row r="18" spans="1:10">
      <c r="A18" s="116"/>
      <c r="B18" s="117"/>
      <c r="C18" s="691"/>
      <c r="D18" s="672"/>
      <c r="E18" s="682"/>
      <c r="F18" s="692" t="str">
        <f t="shared" si="3"/>
        <v>----</v>
      </c>
      <c r="G18" s="682"/>
      <c r="H18" s="692" t="str">
        <f t="shared" si="1"/>
        <v>----</v>
      </c>
      <c r="I18" s="677"/>
      <c r="J18" s="693" t="str">
        <f t="shared" si="2"/>
        <v>----</v>
      </c>
    </row>
    <row r="19" spans="1:10" ht="15.75" thickBot="1">
      <c r="A19" s="74"/>
      <c r="B19" s="75"/>
      <c r="C19" s="667"/>
      <c r="D19" s="673"/>
      <c r="E19" s="683"/>
      <c r="F19" s="684" t="str">
        <f t="shared" si="3"/>
        <v>----</v>
      </c>
      <c r="G19" s="683"/>
      <c r="H19" s="684" t="str">
        <f t="shared" si="1"/>
        <v>----</v>
      </c>
      <c r="I19" s="678"/>
      <c r="J19" s="685" t="str">
        <f t="shared" si="2"/>
        <v>----</v>
      </c>
    </row>
    <row r="20" spans="1:10" ht="15.75" thickBot="1">
      <c r="A20" s="27"/>
      <c r="B20" s="27"/>
      <c r="C20" s="28"/>
      <c r="D20" s="28"/>
      <c r="E20" s="439"/>
      <c r="F20" s="441">
        <f>SUM(F4:F19)</f>
        <v>-6424.7700000000186</v>
      </c>
      <c r="G20" s="439"/>
      <c r="H20" s="441">
        <f>SUM(H4:H19)</f>
        <v>-14894.459999999963</v>
      </c>
      <c r="I20" s="28"/>
      <c r="J20" s="69">
        <f>SUM(J4:J19)</f>
        <v>-13543.189999999944</v>
      </c>
    </row>
    <row r="21" spans="1:10">
      <c r="A21" s="17"/>
      <c r="B21" s="17"/>
      <c r="C21" s="20"/>
      <c r="D21" s="20"/>
      <c r="E21" s="435"/>
      <c r="F21" s="435"/>
      <c r="G21" s="435"/>
      <c r="H21" s="435"/>
      <c r="I21" s="20"/>
      <c r="J21" s="20"/>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4D37-35C5-492C-89B4-C480330DD462}">
  <dimension ref="A1:J21"/>
  <sheetViews>
    <sheetView workbookViewId="0">
      <selection activeCell="K25" sqref="K25"/>
    </sheetView>
  </sheetViews>
  <sheetFormatPr defaultRowHeight="15"/>
  <cols>
    <col min="2" max="2" width="22.85546875" bestFit="1" customWidth="1"/>
    <col min="3" max="4" width="12" bestFit="1" customWidth="1"/>
    <col min="5" max="5" width="12" style="432" bestFit="1" customWidth="1"/>
    <col min="6" max="6" width="14" style="432" customWidth="1"/>
    <col min="7" max="7" width="12" style="432" bestFit="1" customWidth="1"/>
    <col min="8" max="8" width="14" style="432" customWidth="1"/>
    <col min="9" max="9" width="12" bestFit="1" customWidth="1"/>
    <col min="10" max="10" width="14" customWidth="1"/>
  </cols>
  <sheetData>
    <row r="1" spans="1:10" ht="15.75" thickBot="1">
      <c r="A1" s="952" t="s">
        <v>138</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46.5" thickBot="1">
      <c r="A3" s="960"/>
      <c r="B3" s="962"/>
      <c r="C3" s="962"/>
      <c r="D3" s="974"/>
      <c r="E3" s="460" t="s">
        <v>121</v>
      </c>
      <c r="F3" s="468" t="s">
        <v>113</v>
      </c>
      <c r="G3" s="460" t="s">
        <v>121</v>
      </c>
      <c r="H3" s="468" t="s">
        <v>113</v>
      </c>
      <c r="I3" s="478" t="s">
        <v>121</v>
      </c>
      <c r="J3" s="25" t="s">
        <v>113</v>
      </c>
    </row>
    <row r="4" spans="1:10">
      <c r="A4" s="70">
        <v>43788</v>
      </c>
      <c r="B4" s="71" t="s">
        <v>145</v>
      </c>
      <c r="C4" s="72">
        <v>1022190.43</v>
      </c>
      <c r="D4" s="429">
        <f>C4</f>
        <v>1022190.43</v>
      </c>
      <c r="E4" s="469">
        <v>1026181.21</v>
      </c>
      <c r="F4" s="470">
        <f t="shared" ref="F4:F19" si="0">IF(ISBLANK(E4),"----",E4-D4)</f>
        <v>3990.7799999999115</v>
      </c>
      <c r="G4" s="469" t="s">
        <v>703</v>
      </c>
      <c r="H4" s="470" t="str">
        <f t="shared" ref="H4:H19" si="1">IF(OR(G4="Complete",ISBLANK(G4)),"----",G4-$D4)</f>
        <v>----</v>
      </c>
      <c r="I4" s="479" t="s">
        <v>703</v>
      </c>
      <c r="J4" s="73" t="str">
        <f t="shared" ref="J4:J19" si="2">IF(OR(I4="Complete",ISBLANK(I4)),"----",I4-$D4)</f>
        <v>----</v>
      </c>
    </row>
    <row r="5" spans="1:10">
      <c r="A5" s="88">
        <v>43852</v>
      </c>
      <c r="B5" s="101" t="s">
        <v>192</v>
      </c>
      <c r="C5" s="82">
        <v>465735</v>
      </c>
      <c r="D5" s="431">
        <v>372588</v>
      </c>
      <c r="E5" s="471"/>
      <c r="F5" s="472" t="str">
        <f t="shared" si="0"/>
        <v>----</v>
      </c>
      <c r="G5" s="471"/>
      <c r="H5" s="472" t="str">
        <f t="shared" si="1"/>
        <v>----</v>
      </c>
      <c r="I5" s="484"/>
      <c r="J5" s="83" t="str">
        <f t="shared" si="2"/>
        <v>----</v>
      </c>
    </row>
    <row r="6" spans="1:10">
      <c r="A6" s="102">
        <v>43852</v>
      </c>
      <c r="B6" s="103" t="s">
        <v>193</v>
      </c>
      <c r="C6" s="87">
        <v>498614</v>
      </c>
      <c r="D6" s="466">
        <v>280134</v>
      </c>
      <c r="E6" s="473"/>
      <c r="F6" s="485" t="str">
        <f t="shared" si="0"/>
        <v>----</v>
      </c>
      <c r="G6" s="473"/>
      <c r="H6" s="485" t="str">
        <f t="shared" si="1"/>
        <v>----</v>
      </c>
      <c r="I6" s="486"/>
      <c r="J6" s="115" t="str">
        <f t="shared" si="2"/>
        <v>----</v>
      </c>
    </row>
    <row r="7" spans="1:10">
      <c r="A7" s="102">
        <v>43852</v>
      </c>
      <c r="B7" s="103" t="s">
        <v>194</v>
      </c>
      <c r="C7" s="87">
        <v>1551788.4</v>
      </c>
      <c r="D7" s="466">
        <v>1251378.3999999999</v>
      </c>
      <c r="E7" s="473"/>
      <c r="F7" s="485" t="str">
        <f t="shared" si="0"/>
        <v>----</v>
      </c>
      <c r="G7" s="473"/>
      <c r="H7" s="485" t="str">
        <f t="shared" si="1"/>
        <v>----</v>
      </c>
      <c r="I7" s="486"/>
      <c r="J7" s="115" t="str">
        <f t="shared" si="2"/>
        <v>----</v>
      </c>
    </row>
    <row r="8" spans="1:10">
      <c r="A8" s="970">
        <v>44153</v>
      </c>
      <c r="B8" s="103" t="s">
        <v>335</v>
      </c>
      <c r="C8" s="87">
        <v>710860.5</v>
      </c>
      <c r="D8" s="466">
        <f>C8</f>
        <v>710860.5</v>
      </c>
      <c r="E8" s="473">
        <v>703673.95</v>
      </c>
      <c r="F8" s="485">
        <f t="shared" si="0"/>
        <v>-7186.5500000000466</v>
      </c>
      <c r="G8" s="473" t="s">
        <v>703</v>
      </c>
      <c r="H8" s="485" t="str">
        <f t="shared" si="1"/>
        <v>----</v>
      </c>
      <c r="I8" s="486" t="s">
        <v>703</v>
      </c>
      <c r="J8" s="115" t="str">
        <f t="shared" si="2"/>
        <v>----</v>
      </c>
    </row>
    <row r="9" spans="1:10">
      <c r="A9" s="972"/>
      <c r="B9" s="103" t="s">
        <v>336</v>
      </c>
      <c r="C9" s="87">
        <v>1052060.05</v>
      </c>
      <c r="D9" s="466">
        <f>C9</f>
        <v>1052060.05</v>
      </c>
      <c r="E9" s="473">
        <v>1046393.18</v>
      </c>
      <c r="F9" s="485">
        <f t="shared" si="0"/>
        <v>-5666.8699999999953</v>
      </c>
      <c r="G9" s="473" t="s">
        <v>703</v>
      </c>
      <c r="H9" s="485" t="str">
        <f t="shared" si="1"/>
        <v>----</v>
      </c>
      <c r="I9" s="486" t="s">
        <v>703</v>
      </c>
      <c r="J9" s="115" t="str">
        <f t="shared" si="2"/>
        <v>----</v>
      </c>
    </row>
    <row r="10" spans="1:10">
      <c r="A10" s="102"/>
      <c r="B10" s="103"/>
      <c r="C10" s="87"/>
      <c r="D10" s="466"/>
      <c r="E10" s="473"/>
      <c r="F10" s="485" t="str">
        <f t="shared" si="0"/>
        <v>----</v>
      </c>
      <c r="G10" s="473"/>
      <c r="H10" s="485" t="str">
        <f t="shared" si="1"/>
        <v>----</v>
      </c>
      <c r="I10" s="486"/>
      <c r="J10" s="115" t="str">
        <f t="shared" si="2"/>
        <v>----</v>
      </c>
    </row>
    <row r="11" spans="1:10">
      <c r="A11" s="102"/>
      <c r="B11" s="103"/>
      <c r="C11" s="87"/>
      <c r="D11" s="466"/>
      <c r="E11" s="473"/>
      <c r="F11" s="485" t="str">
        <f t="shared" si="0"/>
        <v>----</v>
      </c>
      <c r="G11" s="473"/>
      <c r="H11" s="485" t="str">
        <f t="shared" si="1"/>
        <v>----</v>
      </c>
      <c r="I11" s="486"/>
      <c r="J11" s="115" t="str">
        <f t="shared" si="2"/>
        <v>----</v>
      </c>
    </row>
    <row r="12" spans="1:10">
      <c r="A12" s="102"/>
      <c r="B12" s="103"/>
      <c r="C12" s="87"/>
      <c r="D12" s="466"/>
      <c r="E12" s="473"/>
      <c r="F12" s="485" t="str">
        <f t="shared" si="0"/>
        <v>----</v>
      </c>
      <c r="G12" s="473"/>
      <c r="H12" s="485" t="str">
        <f t="shared" si="1"/>
        <v>----</v>
      </c>
      <c r="I12" s="486"/>
      <c r="J12" s="115" t="str">
        <f t="shared" si="2"/>
        <v>----</v>
      </c>
    </row>
    <row r="13" spans="1:10">
      <c r="A13" s="102"/>
      <c r="B13" s="103"/>
      <c r="C13" s="87"/>
      <c r="D13" s="466"/>
      <c r="E13" s="473"/>
      <c r="F13" s="485" t="str">
        <f t="shared" si="0"/>
        <v>----</v>
      </c>
      <c r="G13" s="473"/>
      <c r="H13" s="485" t="str">
        <f t="shared" si="1"/>
        <v>----</v>
      </c>
      <c r="I13" s="486"/>
      <c r="J13" s="115" t="str">
        <f t="shared" si="2"/>
        <v>----</v>
      </c>
    </row>
    <row r="14" spans="1:10">
      <c r="A14" s="102"/>
      <c r="B14" s="103"/>
      <c r="C14" s="87"/>
      <c r="D14" s="466"/>
      <c r="E14" s="473"/>
      <c r="F14" s="485" t="str">
        <f t="shared" si="0"/>
        <v>----</v>
      </c>
      <c r="G14" s="473"/>
      <c r="H14" s="485" t="str">
        <f t="shared" si="1"/>
        <v>----</v>
      </c>
      <c r="I14" s="486"/>
      <c r="J14" s="115" t="str">
        <f t="shared" si="2"/>
        <v>----</v>
      </c>
    </row>
    <row r="15" spans="1:10">
      <c r="A15" s="102"/>
      <c r="B15" s="103"/>
      <c r="C15" s="87"/>
      <c r="D15" s="466"/>
      <c r="E15" s="473"/>
      <c r="F15" s="485" t="str">
        <f t="shared" si="0"/>
        <v>----</v>
      </c>
      <c r="G15" s="473"/>
      <c r="H15" s="485" t="str">
        <f t="shared" si="1"/>
        <v>----</v>
      </c>
      <c r="I15" s="486"/>
      <c r="J15" s="115" t="str">
        <f t="shared" si="2"/>
        <v>----</v>
      </c>
    </row>
    <row r="16" spans="1:10">
      <c r="A16" s="102"/>
      <c r="B16" s="103"/>
      <c r="C16" s="87"/>
      <c r="D16" s="466"/>
      <c r="E16" s="473"/>
      <c r="F16" s="485" t="str">
        <f t="shared" si="0"/>
        <v>----</v>
      </c>
      <c r="G16" s="473"/>
      <c r="H16" s="485" t="str">
        <f t="shared" si="1"/>
        <v>----</v>
      </c>
      <c r="I16" s="486"/>
      <c r="J16" s="115" t="str">
        <f t="shared" si="2"/>
        <v>----</v>
      </c>
    </row>
    <row r="17" spans="1:10">
      <c r="A17" s="102"/>
      <c r="B17" s="103"/>
      <c r="C17" s="87"/>
      <c r="D17" s="466"/>
      <c r="E17" s="473"/>
      <c r="F17" s="485" t="str">
        <f t="shared" si="0"/>
        <v>----</v>
      </c>
      <c r="G17" s="473"/>
      <c r="H17" s="485" t="str">
        <f t="shared" si="1"/>
        <v>----</v>
      </c>
      <c r="I17" s="486"/>
      <c r="J17" s="115" t="str">
        <f t="shared" si="2"/>
        <v>----</v>
      </c>
    </row>
    <row r="18" spans="1:10">
      <c r="A18" s="116"/>
      <c r="B18" s="117"/>
      <c r="C18" s="118"/>
      <c r="D18" s="467"/>
      <c r="E18" s="474"/>
      <c r="F18" s="485" t="str">
        <f t="shared" si="0"/>
        <v>----</v>
      </c>
      <c r="G18" s="474"/>
      <c r="H18" s="485" t="str">
        <f t="shared" si="1"/>
        <v>----</v>
      </c>
      <c r="I18" s="488"/>
      <c r="J18" s="115" t="str">
        <f t="shared" si="2"/>
        <v>----</v>
      </c>
    </row>
    <row r="19" spans="1:10" ht="15.75" thickBot="1">
      <c r="A19" s="74"/>
      <c r="B19" s="75"/>
      <c r="C19" s="76"/>
      <c r="D19" s="430"/>
      <c r="E19" s="475"/>
      <c r="F19" s="476" t="str">
        <f t="shared" si="0"/>
        <v>----</v>
      </c>
      <c r="G19" s="475"/>
      <c r="H19" s="476" t="str">
        <f t="shared" si="1"/>
        <v>----</v>
      </c>
      <c r="I19" s="481"/>
      <c r="J19" s="77" t="str">
        <f t="shared" si="2"/>
        <v>----</v>
      </c>
    </row>
    <row r="20" spans="1:10" ht="15.75" thickBot="1">
      <c r="A20" s="27"/>
      <c r="B20" s="27"/>
      <c r="C20" s="28"/>
      <c r="D20" s="28"/>
      <c r="E20" s="439"/>
      <c r="F20" s="441">
        <f>SUM(F4:F19)</f>
        <v>-8862.6400000001304</v>
      </c>
      <c r="G20" s="439"/>
      <c r="H20" s="441">
        <f>SUM(H4:H19)</f>
        <v>0</v>
      </c>
      <c r="I20" s="28"/>
      <c r="J20" s="69">
        <f>SUM(J4:J19)</f>
        <v>0</v>
      </c>
    </row>
    <row r="21" spans="1:10">
      <c r="A21" s="17"/>
      <c r="B21" s="17"/>
      <c r="C21" s="20"/>
      <c r="D21" s="20"/>
      <c r="E21" s="435"/>
      <c r="F21" s="435"/>
      <c r="G21" s="435"/>
      <c r="H21" s="435"/>
      <c r="I21" s="20"/>
      <c r="J21" s="20"/>
    </row>
  </sheetData>
  <mergeCells count="9">
    <mergeCell ref="A1:J1"/>
    <mergeCell ref="A8:A9"/>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624ED-6E9B-497E-B76A-22688A33C78A}">
  <dimension ref="A1:J17"/>
  <sheetViews>
    <sheetView workbookViewId="0">
      <selection activeCell="O19" sqref="O19"/>
    </sheetView>
  </sheetViews>
  <sheetFormatPr defaultRowHeight="15"/>
  <cols>
    <col min="2" max="2" width="22.5703125" bestFit="1" customWidth="1"/>
    <col min="3" max="4" width="10.7109375" bestFit="1" customWidth="1"/>
    <col min="5" max="5" width="10.7109375" style="432" bestFit="1" customWidth="1"/>
    <col min="6" max="6" width="9.85546875" style="432" bestFit="1" customWidth="1"/>
    <col min="7" max="7" width="10.7109375" style="432" bestFit="1" customWidth="1"/>
    <col min="8" max="8" width="9.85546875" style="432" bestFit="1" customWidth="1"/>
    <col min="9" max="9" width="10.7109375" bestFit="1" customWidth="1"/>
    <col min="10" max="10" width="9.85546875" bestFit="1" customWidth="1"/>
  </cols>
  <sheetData>
    <row r="1" spans="1:10" ht="15.75" thickBot="1">
      <c r="A1" s="952" t="s">
        <v>276</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57.75" thickBot="1">
      <c r="A3" s="960"/>
      <c r="B3" s="962"/>
      <c r="C3" s="962"/>
      <c r="D3" s="974"/>
      <c r="E3" s="460" t="s">
        <v>121</v>
      </c>
      <c r="F3" s="468" t="s">
        <v>113</v>
      </c>
      <c r="G3" s="460" t="s">
        <v>121</v>
      </c>
      <c r="H3" s="468" t="s">
        <v>113</v>
      </c>
      <c r="I3" s="478" t="s">
        <v>121</v>
      </c>
      <c r="J3" s="25" t="s">
        <v>113</v>
      </c>
    </row>
    <row r="4" spans="1:10">
      <c r="A4" s="70">
        <v>44153</v>
      </c>
      <c r="B4" s="71" t="s">
        <v>337</v>
      </c>
      <c r="C4" s="72">
        <v>741562.5</v>
      </c>
      <c r="D4" s="429">
        <v>331912.5</v>
      </c>
      <c r="E4" s="469">
        <v>324736.43</v>
      </c>
      <c r="F4" s="470">
        <f t="shared" ref="F4:F16" si="0">IF(ISBLANK(E4),"----",E4-D4)</f>
        <v>-7176.070000000007</v>
      </c>
      <c r="G4" s="469" t="s">
        <v>703</v>
      </c>
      <c r="H4" s="470" t="str">
        <f t="shared" ref="H4:H16" si="1">IF(OR(G4="Complete",ISBLANK(G4)),"----",G4-$D4)</f>
        <v>----</v>
      </c>
      <c r="I4" s="479" t="s">
        <v>703</v>
      </c>
      <c r="J4" s="73" t="str">
        <f t="shared" ref="J4:J16" si="2">IF(OR(I4="Complete",ISBLANK(I4)),"----",I4-$D4)</f>
        <v>----</v>
      </c>
    </row>
    <row r="5" spans="1:10">
      <c r="A5" s="88">
        <v>44216</v>
      </c>
      <c r="B5" s="101" t="s">
        <v>381</v>
      </c>
      <c r="C5" s="82">
        <v>403119.8</v>
      </c>
      <c r="D5" s="431">
        <f>C5</f>
        <v>403119.8</v>
      </c>
      <c r="E5" s="471">
        <v>401223.28</v>
      </c>
      <c r="F5" s="472">
        <f t="shared" si="0"/>
        <v>-1896.5199999999604</v>
      </c>
      <c r="G5" s="471" t="s">
        <v>703</v>
      </c>
      <c r="H5" s="472" t="str">
        <f t="shared" si="1"/>
        <v>----</v>
      </c>
      <c r="I5" s="484" t="s">
        <v>703</v>
      </c>
      <c r="J5" s="83" t="str">
        <f t="shared" si="2"/>
        <v>----</v>
      </c>
    </row>
    <row r="6" spans="1:10">
      <c r="A6" s="88"/>
      <c r="B6" s="101"/>
      <c r="C6" s="82"/>
      <c r="D6" s="431"/>
      <c r="E6" s="471"/>
      <c r="F6" s="472" t="str">
        <f t="shared" si="0"/>
        <v>----</v>
      </c>
      <c r="G6" s="471"/>
      <c r="H6" s="472" t="str">
        <f t="shared" si="1"/>
        <v>----</v>
      </c>
      <c r="I6" s="484"/>
      <c r="J6" s="83" t="str">
        <f t="shared" si="2"/>
        <v>----</v>
      </c>
    </row>
    <row r="7" spans="1:10">
      <c r="A7" s="88"/>
      <c r="B7" s="101"/>
      <c r="C7" s="82"/>
      <c r="D7" s="431"/>
      <c r="E7" s="471"/>
      <c r="F7" s="472" t="str">
        <f t="shared" si="0"/>
        <v>----</v>
      </c>
      <c r="G7" s="471"/>
      <c r="H7" s="472" t="str">
        <f t="shared" si="1"/>
        <v>----</v>
      </c>
      <c r="I7" s="484"/>
      <c r="J7" s="83" t="str">
        <f t="shared" si="2"/>
        <v>----</v>
      </c>
    </row>
    <row r="8" spans="1:10">
      <c r="A8" s="88"/>
      <c r="B8" s="101"/>
      <c r="C8" s="82"/>
      <c r="D8" s="431"/>
      <c r="E8" s="471"/>
      <c r="F8" s="472" t="str">
        <f t="shared" si="0"/>
        <v>----</v>
      </c>
      <c r="G8" s="471"/>
      <c r="H8" s="472" t="str">
        <f t="shared" si="1"/>
        <v>----</v>
      </c>
      <c r="I8" s="484"/>
      <c r="J8" s="83" t="str">
        <f t="shared" si="2"/>
        <v>----</v>
      </c>
    </row>
    <row r="9" spans="1:10">
      <c r="A9" s="88"/>
      <c r="B9" s="101"/>
      <c r="C9" s="82"/>
      <c r="D9" s="431"/>
      <c r="E9" s="471"/>
      <c r="F9" s="472" t="str">
        <f t="shared" si="0"/>
        <v>----</v>
      </c>
      <c r="G9" s="471"/>
      <c r="H9" s="472" t="str">
        <f t="shared" si="1"/>
        <v>----</v>
      </c>
      <c r="I9" s="484"/>
      <c r="J9" s="83" t="str">
        <f t="shared" si="2"/>
        <v>----</v>
      </c>
    </row>
    <row r="10" spans="1:10">
      <c r="A10" s="88"/>
      <c r="B10" s="101"/>
      <c r="C10" s="82"/>
      <c r="D10" s="431"/>
      <c r="E10" s="471"/>
      <c r="F10" s="472" t="str">
        <f t="shared" si="0"/>
        <v>----</v>
      </c>
      <c r="G10" s="471"/>
      <c r="H10" s="472" t="str">
        <f t="shared" si="1"/>
        <v>----</v>
      </c>
      <c r="I10" s="484"/>
      <c r="J10" s="83" t="str">
        <f t="shared" si="2"/>
        <v>----</v>
      </c>
    </row>
    <row r="11" spans="1:10">
      <c r="A11" s="88"/>
      <c r="B11" s="101"/>
      <c r="C11" s="82"/>
      <c r="D11" s="431"/>
      <c r="E11" s="471"/>
      <c r="F11" s="472" t="str">
        <f t="shared" si="0"/>
        <v>----</v>
      </c>
      <c r="G11" s="471"/>
      <c r="H11" s="472" t="str">
        <f t="shared" si="1"/>
        <v>----</v>
      </c>
      <c r="I11" s="484"/>
      <c r="J11" s="83" t="str">
        <f t="shared" si="2"/>
        <v>----</v>
      </c>
    </row>
    <row r="12" spans="1:10">
      <c r="A12" s="88"/>
      <c r="B12" s="101"/>
      <c r="C12" s="82"/>
      <c r="D12" s="431"/>
      <c r="E12" s="471"/>
      <c r="F12" s="472" t="str">
        <f t="shared" si="0"/>
        <v>----</v>
      </c>
      <c r="G12" s="471"/>
      <c r="H12" s="472" t="str">
        <f t="shared" si="1"/>
        <v>----</v>
      </c>
      <c r="I12" s="484"/>
      <c r="J12" s="83" t="str">
        <f t="shared" si="2"/>
        <v>----</v>
      </c>
    </row>
    <row r="13" spans="1:10">
      <c r="A13" s="88"/>
      <c r="B13" s="101"/>
      <c r="C13" s="82"/>
      <c r="D13" s="431"/>
      <c r="E13" s="471"/>
      <c r="F13" s="472" t="str">
        <f t="shared" si="0"/>
        <v>----</v>
      </c>
      <c r="G13" s="471"/>
      <c r="H13" s="472" t="str">
        <f t="shared" si="1"/>
        <v>----</v>
      </c>
      <c r="I13" s="484"/>
      <c r="J13" s="83" t="str">
        <f t="shared" si="2"/>
        <v>----</v>
      </c>
    </row>
    <row r="14" spans="1:10">
      <c r="A14" s="88"/>
      <c r="B14" s="101"/>
      <c r="C14" s="82"/>
      <c r="D14" s="431"/>
      <c r="E14" s="471"/>
      <c r="F14" s="472" t="str">
        <f t="shared" si="0"/>
        <v>----</v>
      </c>
      <c r="G14" s="471"/>
      <c r="H14" s="472" t="str">
        <f t="shared" si="1"/>
        <v>----</v>
      </c>
      <c r="I14" s="484"/>
      <c r="J14" s="83" t="str">
        <f t="shared" si="2"/>
        <v>----</v>
      </c>
    </row>
    <row r="15" spans="1:10">
      <c r="A15" s="91"/>
      <c r="B15" s="92"/>
      <c r="C15" s="84"/>
      <c r="D15" s="477"/>
      <c r="E15" s="482"/>
      <c r="F15" s="483" t="str">
        <f t="shared" si="0"/>
        <v>----</v>
      </c>
      <c r="G15" s="482"/>
      <c r="H15" s="483" t="str">
        <f t="shared" si="1"/>
        <v>----</v>
      </c>
      <c r="I15" s="480"/>
      <c r="J15" s="85" t="str">
        <f t="shared" si="2"/>
        <v>----</v>
      </c>
    </row>
    <row r="16" spans="1:10" ht="15.75" thickBot="1">
      <c r="A16" s="74"/>
      <c r="B16" s="75"/>
      <c r="C16" s="76"/>
      <c r="D16" s="430"/>
      <c r="E16" s="475"/>
      <c r="F16" s="476" t="str">
        <f t="shared" si="0"/>
        <v>----</v>
      </c>
      <c r="G16" s="475"/>
      <c r="H16" s="476" t="str">
        <f t="shared" si="1"/>
        <v>----</v>
      </c>
      <c r="I16" s="481"/>
      <c r="J16" s="77" t="str">
        <f t="shared" si="2"/>
        <v>----</v>
      </c>
    </row>
    <row r="17" spans="1:10" ht="15.75" thickBot="1">
      <c r="A17" s="27"/>
      <c r="B17" s="27"/>
      <c r="C17" s="28"/>
      <c r="D17" s="28"/>
      <c r="E17" s="439"/>
      <c r="F17" s="441">
        <f>SUM(F4:F16)</f>
        <v>-9072.5899999999674</v>
      </c>
      <c r="G17" s="439"/>
      <c r="H17" s="441">
        <f>SUM(H4:H16)</f>
        <v>0</v>
      </c>
      <c r="I17" s="28"/>
      <c r="J17" s="69">
        <f>SUM(J4:J16)</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9B0A1-EDCF-4D1B-B9B1-62B083BFA92B}">
  <dimension ref="A1:K21"/>
  <sheetViews>
    <sheetView workbookViewId="0">
      <selection activeCell="O21" sqref="O21"/>
    </sheetView>
  </sheetViews>
  <sheetFormatPr defaultRowHeight="15"/>
  <cols>
    <col min="2" max="2" width="22.140625" bestFit="1" customWidth="1"/>
    <col min="3" max="4" width="12" bestFit="1" customWidth="1"/>
    <col min="5" max="5" width="12" style="432" bestFit="1" customWidth="1"/>
    <col min="6" max="6" width="12.42578125" style="432" customWidth="1"/>
    <col min="7" max="7" width="12" style="432" bestFit="1" customWidth="1"/>
    <col min="8" max="8" width="12.42578125" style="432" customWidth="1"/>
    <col min="9" max="9" width="12" bestFit="1" customWidth="1"/>
    <col min="10" max="10" width="12.42578125" customWidth="1"/>
  </cols>
  <sheetData>
    <row r="1" spans="1:11" ht="15.75" thickBot="1">
      <c r="A1" s="952" t="s">
        <v>277</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46.5" thickBot="1">
      <c r="A3" s="960"/>
      <c r="B3" s="962"/>
      <c r="C3" s="962"/>
      <c r="D3" s="974"/>
      <c r="E3" s="460" t="s">
        <v>121</v>
      </c>
      <c r="F3" s="468" t="s">
        <v>113</v>
      </c>
      <c r="G3" s="460" t="s">
        <v>121</v>
      </c>
      <c r="H3" s="468" t="s">
        <v>113</v>
      </c>
      <c r="I3" s="478" t="s">
        <v>121</v>
      </c>
      <c r="J3" s="25" t="s">
        <v>113</v>
      </c>
    </row>
    <row r="4" spans="1:11">
      <c r="A4" s="986">
        <v>44271</v>
      </c>
      <c r="B4" s="213" t="s">
        <v>408</v>
      </c>
      <c r="C4" s="214">
        <v>278358.5</v>
      </c>
      <c r="D4" s="561">
        <v>100843.5</v>
      </c>
      <c r="E4" s="567"/>
      <c r="F4" s="568" t="str">
        <f t="shared" ref="F4:F20" si="0">IF(ISBLANK(E4),"----",E4-D4)</f>
        <v>----</v>
      </c>
      <c r="G4" s="567"/>
      <c r="H4" s="568" t="str">
        <f t="shared" ref="H4:H20" si="1">IF(OR(G4="Complete",ISBLANK(G4)),"----",G4-$D4)</f>
        <v>----</v>
      </c>
      <c r="I4" s="564"/>
      <c r="J4" s="215" t="str">
        <f t="shared" ref="J4:J20" si="2">IF(OR(I4="Complete",ISBLANK(I4)),"----",I4-$D4)</f>
        <v>----</v>
      </c>
    </row>
    <row r="5" spans="1:11">
      <c r="A5" s="987"/>
      <c r="B5" s="121" t="s">
        <v>409</v>
      </c>
      <c r="C5" s="216">
        <v>859172.6</v>
      </c>
      <c r="D5" s="562">
        <v>531452.6</v>
      </c>
      <c r="E5" s="569"/>
      <c r="F5" s="570" t="str">
        <f t="shared" si="0"/>
        <v>----</v>
      </c>
      <c r="G5" s="569"/>
      <c r="H5" s="570" t="str">
        <f t="shared" si="1"/>
        <v>----</v>
      </c>
      <c r="I5" s="565"/>
      <c r="J5" s="217" t="str">
        <f t="shared" si="2"/>
        <v>----</v>
      </c>
    </row>
    <row r="6" spans="1:11">
      <c r="A6" s="120">
        <v>44488</v>
      </c>
      <c r="B6" s="121" t="s">
        <v>461</v>
      </c>
      <c r="C6" s="122">
        <v>1057045.6599999999</v>
      </c>
      <c r="D6" s="493">
        <f>C6</f>
        <v>1057045.6599999999</v>
      </c>
      <c r="E6" s="463">
        <v>1096008.19</v>
      </c>
      <c r="F6" s="571">
        <f t="shared" si="0"/>
        <v>38962.530000000028</v>
      </c>
      <c r="G6" s="463" t="s">
        <v>703</v>
      </c>
      <c r="H6" s="571" t="str">
        <f t="shared" si="1"/>
        <v>----</v>
      </c>
      <c r="I6" s="495" t="s">
        <v>703</v>
      </c>
      <c r="J6" s="199" t="str">
        <f t="shared" si="2"/>
        <v>----</v>
      </c>
    </row>
    <row r="7" spans="1:11">
      <c r="A7" s="120">
        <v>45097</v>
      </c>
      <c r="B7" s="121" t="s">
        <v>652</v>
      </c>
      <c r="C7" s="122">
        <v>511651.1</v>
      </c>
      <c r="D7" s="493">
        <f>C7</f>
        <v>511651.1</v>
      </c>
      <c r="E7" s="463"/>
      <c r="F7" s="571" t="str">
        <f t="shared" si="0"/>
        <v>----</v>
      </c>
      <c r="G7" s="463"/>
      <c r="H7" s="571" t="str">
        <f t="shared" si="1"/>
        <v>----</v>
      </c>
      <c r="I7" s="495"/>
      <c r="J7" s="199" t="str">
        <f t="shared" si="2"/>
        <v>----</v>
      </c>
    </row>
    <row r="8" spans="1:11">
      <c r="A8" s="120">
        <v>45216</v>
      </c>
      <c r="B8" s="121" t="s">
        <v>666</v>
      </c>
      <c r="C8" s="372">
        <v>2189595.19</v>
      </c>
      <c r="D8" s="493">
        <v>0</v>
      </c>
      <c r="E8" s="463"/>
      <c r="F8" s="571" t="str">
        <f t="shared" si="0"/>
        <v>----</v>
      </c>
      <c r="G8" s="463"/>
      <c r="H8" s="571" t="str">
        <f t="shared" si="1"/>
        <v>----</v>
      </c>
      <c r="I8" s="495"/>
      <c r="J8" s="199" t="str">
        <f t="shared" si="2"/>
        <v>----</v>
      </c>
      <c r="K8" t="s">
        <v>667</v>
      </c>
    </row>
    <row r="9" spans="1:11">
      <c r="A9" s="120"/>
      <c r="B9" s="121"/>
      <c r="C9" s="122"/>
      <c r="D9" s="493"/>
      <c r="E9" s="463"/>
      <c r="F9" s="571" t="str">
        <f t="shared" si="0"/>
        <v>----</v>
      </c>
      <c r="G9" s="463"/>
      <c r="H9" s="571" t="str">
        <f t="shared" si="1"/>
        <v>----</v>
      </c>
      <c r="I9" s="495"/>
      <c r="J9" s="199" t="str">
        <f t="shared" si="2"/>
        <v>----</v>
      </c>
    </row>
    <row r="10" spans="1:11">
      <c r="A10" s="120"/>
      <c r="B10" s="121"/>
      <c r="C10" s="122"/>
      <c r="D10" s="493"/>
      <c r="E10" s="463"/>
      <c r="F10" s="571" t="str">
        <f t="shared" si="0"/>
        <v>----</v>
      </c>
      <c r="G10" s="463"/>
      <c r="H10" s="571" t="str">
        <f t="shared" si="1"/>
        <v>----</v>
      </c>
      <c r="I10" s="495"/>
      <c r="J10" s="199" t="str">
        <f t="shared" si="2"/>
        <v>----</v>
      </c>
    </row>
    <row r="11" spans="1:11">
      <c r="A11" s="120"/>
      <c r="B11" s="121"/>
      <c r="C11" s="122"/>
      <c r="D11" s="493"/>
      <c r="E11" s="463"/>
      <c r="F11" s="571" t="str">
        <f t="shared" si="0"/>
        <v>----</v>
      </c>
      <c r="G11" s="463"/>
      <c r="H11" s="571" t="str">
        <f t="shared" si="1"/>
        <v>----</v>
      </c>
      <c r="I11" s="495"/>
      <c r="J11" s="199" t="str">
        <f t="shared" si="2"/>
        <v>----</v>
      </c>
    </row>
    <row r="12" spans="1:11">
      <c r="A12" s="120"/>
      <c r="B12" s="121"/>
      <c r="C12" s="122"/>
      <c r="D12" s="493"/>
      <c r="E12" s="463"/>
      <c r="F12" s="571" t="str">
        <f t="shared" si="0"/>
        <v>----</v>
      </c>
      <c r="G12" s="463"/>
      <c r="H12" s="571" t="str">
        <f t="shared" si="1"/>
        <v>----</v>
      </c>
      <c r="I12" s="495"/>
      <c r="J12" s="199" t="str">
        <f t="shared" si="2"/>
        <v>----</v>
      </c>
    </row>
    <row r="13" spans="1:11">
      <c r="A13" s="120"/>
      <c r="B13" s="121"/>
      <c r="C13" s="122"/>
      <c r="D13" s="493"/>
      <c r="E13" s="463"/>
      <c r="F13" s="571" t="str">
        <f t="shared" si="0"/>
        <v>----</v>
      </c>
      <c r="G13" s="463"/>
      <c r="H13" s="571" t="str">
        <f t="shared" si="1"/>
        <v>----</v>
      </c>
      <c r="I13" s="495"/>
      <c r="J13" s="199" t="str">
        <f t="shared" si="2"/>
        <v>----</v>
      </c>
    </row>
    <row r="14" spans="1:11">
      <c r="A14" s="120"/>
      <c r="B14" s="121"/>
      <c r="C14" s="122"/>
      <c r="D14" s="493"/>
      <c r="E14" s="463"/>
      <c r="F14" s="571" t="str">
        <f t="shared" si="0"/>
        <v>----</v>
      </c>
      <c r="G14" s="463"/>
      <c r="H14" s="571" t="str">
        <f t="shared" si="1"/>
        <v>----</v>
      </c>
      <c r="I14" s="495"/>
      <c r="J14" s="199" t="str">
        <f t="shared" si="2"/>
        <v>----</v>
      </c>
    </row>
    <row r="15" spans="1:11">
      <c r="A15" s="120"/>
      <c r="B15" s="121"/>
      <c r="C15" s="122"/>
      <c r="D15" s="493"/>
      <c r="E15" s="463"/>
      <c r="F15" s="571" t="str">
        <f t="shared" si="0"/>
        <v>----</v>
      </c>
      <c r="G15" s="463"/>
      <c r="H15" s="571" t="str">
        <f t="shared" si="1"/>
        <v>----</v>
      </c>
      <c r="I15" s="495"/>
      <c r="J15" s="199" t="str">
        <f t="shared" si="2"/>
        <v>----</v>
      </c>
    </row>
    <row r="16" spans="1:11">
      <c r="A16" s="120"/>
      <c r="B16" s="121"/>
      <c r="C16" s="122"/>
      <c r="D16" s="493"/>
      <c r="E16" s="463"/>
      <c r="F16" s="571" t="str">
        <f t="shared" si="0"/>
        <v>----</v>
      </c>
      <c r="G16" s="463"/>
      <c r="H16" s="571" t="str">
        <f t="shared" si="1"/>
        <v>----</v>
      </c>
      <c r="I16" s="495"/>
      <c r="J16" s="199" t="str">
        <f t="shared" si="2"/>
        <v>----</v>
      </c>
    </row>
    <row r="17" spans="1:10">
      <c r="A17" s="120"/>
      <c r="B17" s="121"/>
      <c r="C17" s="122"/>
      <c r="D17" s="493"/>
      <c r="E17" s="463"/>
      <c r="F17" s="571" t="str">
        <f t="shared" si="0"/>
        <v>----</v>
      </c>
      <c r="G17" s="463"/>
      <c r="H17" s="571" t="str">
        <f t="shared" si="1"/>
        <v>----</v>
      </c>
      <c r="I17" s="495"/>
      <c r="J17" s="199" t="str">
        <f t="shared" si="2"/>
        <v>----</v>
      </c>
    </row>
    <row r="18" spans="1:10">
      <c r="A18" s="120"/>
      <c r="B18" s="121"/>
      <c r="C18" s="122"/>
      <c r="D18" s="493"/>
      <c r="E18" s="463"/>
      <c r="F18" s="571" t="str">
        <f t="shared" si="0"/>
        <v>----</v>
      </c>
      <c r="G18" s="463"/>
      <c r="H18" s="571" t="str">
        <f t="shared" si="1"/>
        <v>----</v>
      </c>
      <c r="I18" s="495"/>
      <c r="J18" s="199" t="str">
        <f t="shared" si="2"/>
        <v>----</v>
      </c>
    </row>
    <row r="19" spans="1:10">
      <c r="A19" s="120"/>
      <c r="B19" s="121"/>
      <c r="C19" s="122"/>
      <c r="D19" s="493"/>
      <c r="E19" s="463"/>
      <c r="F19" s="571" t="str">
        <f t="shared" si="0"/>
        <v>----</v>
      </c>
      <c r="G19" s="463"/>
      <c r="H19" s="571" t="str">
        <f t="shared" si="1"/>
        <v>----</v>
      </c>
      <c r="I19" s="495"/>
      <c r="J19" s="199" t="str">
        <f t="shared" si="2"/>
        <v>----</v>
      </c>
    </row>
    <row r="20" spans="1:10" ht="15.75" thickBot="1">
      <c r="A20" s="200"/>
      <c r="B20" s="201"/>
      <c r="C20" s="202"/>
      <c r="D20" s="563"/>
      <c r="E20" s="572"/>
      <c r="F20" s="573" t="str">
        <f t="shared" si="0"/>
        <v>----</v>
      </c>
      <c r="G20" s="572"/>
      <c r="H20" s="573" t="str">
        <f t="shared" si="1"/>
        <v>----</v>
      </c>
      <c r="I20" s="566"/>
      <c r="J20" s="203" t="str">
        <f t="shared" si="2"/>
        <v>----</v>
      </c>
    </row>
    <row r="21" spans="1:10" ht="15.75" thickBot="1">
      <c r="A21" s="27"/>
      <c r="B21" s="27"/>
      <c r="C21" s="28"/>
      <c r="D21" s="28"/>
      <c r="E21" s="439"/>
      <c r="F21" s="441">
        <f>SUM(F4:F20)</f>
        <v>38962.530000000028</v>
      </c>
      <c r="G21" s="439"/>
      <c r="H21" s="441">
        <f>SUM(H4:H20)</f>
        <v>0</v>
      </c>
      <c r="I21" s="28"/>
      <c r="J21" s="69">
        <f>SUM(J4:J20)</f>
        <v>0</v>
      </c>
    </row>
  </sheetData>
  <mergeCells count="9">
    <mergeCell ref="A1:J1"/>
    <mergeCell ref="A4:A5"/>
    <mergeCell ref="E2:F2"/>
    <mergeCell ref="I2:J2"/>
    <mergeCell ref="A2:A3"/>
    <mergeCell ref="B2:B3"/>
    <mergeCell ref="C2:C3"/>
    <mergeCell ref="D2:D3"/>
    <mergeCell ref="G2:H2"/>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7DCAD-64C0-4AF1-8DFC-DCFC44612B1F}">
  <dimension ref="A1:K25"/>
  <sheetViews>
    <sheetView workbookViewId="0">
      <selection activeCell="M12" sqref="M12"/>
    </sheetView>
  </sheetViews>
  <sheetFormatPr defaultRowHeight="15"/>
  <cols>
    <col min="2" max="2" width="22.85546875" bestFit="1" customWidth="1"/>
    <col min="3" max="3" width="10.7109375" bestFit="1" customWidth="1"/>
    <col min="4" max="4" width="11.42578125" customWidth="1"/>
    <col min="5" max="5" width="10.7109375" style="432" bestFit="1" customWidth="1"/>
    <col min="6" max="6" width="11.85546875" style="432" customWidth="1"/>
    <col min="7" max="7" width="10.7109375" style="432" bestFit="1" customWidth="1"/>
    <col min="8" max="8" width="11.85546875" style="432" customWidth="1"/>
    <col min="9" max="9" width="10.7109375" bestFit="1" customWidth="1"/>
    <col min="10" max="10" width="11.85546875" customWidth="1"/>
  </cols>
  <sheetData>
    <row r="1" spans="1:11" ht="15.75" thickBot="1">
      <c r="A1" s="952" t="s">
        <v>139</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57.75" thickBot="1">
      <c r="A3" s="960"/>
      <c r="B3" s="962"/>
      <c r="C3" s="962"/>
      <c r="D3" s="974"/>
      <c r="E3" s="460" t="s">
        <v>121</v>
      </c>
      <c r="F3" s="468" t="s">
        <v>113</v>
      </c>
      <c r="G3" s="460" t="s">
        <v>121</v>
      </c>
      <c r="H3" s="468" t="s">
        <v>113</v>
      </c>
      <c r="I3" s="478" t="s">
        <v>121</v>
      </c>
      <c r="J3" s="25" t="s">
        <v>113</v>
      </c>
    </row>
    <row r="4" spans="1:11">
      <c r="A4" s="70">
        <v>43788</v>
      </c>
      <c r="B4" s="71" t="s">
        <v>144</v>
      </c>
      <c r="C4" s="104">
        <v>266037.7</v>
      </c>
      <c r="D4" s="530">
        <f>C4</f>
        <v>266037.7</v>
      </c>
      <c r="E4" s="540"/>
      <c r="F4" s="635" t="str">
        <f t="shared" ref="F4:F23" si="0">IF(ISBLANK(E4),"----",E4-D4)</f>
        <v>----</v>
      </c>
      <c r="G4" s="540"/>
      <c r="H4" s="635" t="str">
        <f t="shared" ref="H4:H23" si="1">IF(OR(G4="Complete",ISBLANK(G4)),"----",G4-$D4)</f>
        <v>----</v>
      </c>
      <c r="I4" s="535"/>
      <c r="J4" s="636" t="str">
        <f t="shared" ref="J4:J23" si="2">IF(OR(I4="Complete",ISBLANK(I4)),"----",I4-$D4)</f>
        <v>----</v>
      </c>
    </row>
    <row r="5" spans="1:11" s="29" customFormat="1">
      <c r="A5" s="194">
        <v>44306</v>
      </c>
      <c r="B5" s="195" t="s">
        <v>425</v>
      </c>
      <c r="C5" s="637">
        <v>737619</v>
      </c>
      <c r="D5" s="638">
        <f>C5</f>
        <v>737619</v>
      </c>
      <c r="E5" s="639"/>
      <c r="F5" s="640" t="str">
        <f t="shared" si="0"/>
        <v>----</v>
      </c>
      <c r="G5" s="639"/>
      <c r="H5" s="640" t="str">
        <f t="shared" si="1"/>
        <v>----</v>
      </c>
      <c r="I5" s="641"/>
      <c r="J5" s="642" t="str">
        <f t="shared" si="2"/>
        <v>----</v>
      </c>
      <c r="K5" s="29" t="s">
        <v>415</v>
      </c>
    </row>
    <row r="6" spans="1:11">
      <c r="A6" s="102">
        <v>44425</v>
      </c>
      <c r="B6" s="103" t="s">
        <v>425</v>
      </c>
      <c r="C6" s="643">
        <v>539637.54</v>
      </c>
      <c r="D6" s="532">
        <f>C6</f>
        <v>539637.54</v>
      </c>
      <c r="E6" s="542">
        <v>559968.05000000005</v>
      </c>
      <c r="F6" s="644">
        <f t="shared" si="0"/>
        <v>20330.510000000009</v>
      </c>
      <c r="G6" s="542" t="s">
        <v>703</v>
      </c>
      <c r="H6" s="644" t="str">
        <f t="shared" si="1"/>
        <v>----</v>
      </c>
      <c r="I6" s="537" t="s">
        <v>703</v>
      </c>
      <c r="J6" s="645" t="str">
        <f t="shared" si="2"/>
        <v>----</v>
      </c>
    </row>
    <row r="7" spans="1:11">
      <c r="A7" s="102">
        <v>44516</v>
      </c>
      <c r="B7" s="103" t="s">
        <v>466</v>
      </c>
      <c r="C7" s="643">
        <v>538884.36</v>
      </c>
      <c r="D7" s="532">
        <f>C7</f>
        <v>538884.36</v>
      </c>
      <c r="E7" s="542">
        <v>540323.93000000005</v>
      </c>
      <c r="F7" s="644">
        <f t="shared" si="0"/>
        <v>1439.5700000000652</v>
      </c>
      <c r="G7" s="542" t="s">
        <v>703</v>
      </c>
      <c r="H7" s="644" t="str">
        <f t="shared" si="1"/>
        <v>----</v>
      </c>
      <c r="I7" s="537" t="s">
        <v>703</v>
      </c>
      <c r="J7" s="645" t="str">
        <f t="shared" si="2"/>
        <v>----</v>
      </c>
    </row>
    <row r="8" spans="1:11">
      <c r="A8" s="102">
        <v>45489</v>
      </c>
      <c r="B8" s="450" t="s">
        <v>765</v>
      </c>
      <c r="C8" s="643">
        <v>665057.6</v>
      </c>
      <c r="D8" s="532">
        <f>C8</f>
        <v>665057.6</v>
      </c>
      <c r="E8" s="542"/>
      <c r="F8" s="644" t="str">
        <f t="shared" si="0"/>
        <v>----</v>
      </c>
      <c r="G8" s="542"/>
      <c r="H8" s="644" t="str">
        <f t="shared" si="1"/>
        <v>----</v>
      </c>
      <c r="I8" s="537"/>
      <c r="J8" s="645" t="str">
        <f t="shared" si="2"/>
        <v>----</v>
      </c>
    </row>
    <row r="9" spans="1:11">
      <c r="A9" s="102"/>
      <c r="B9" s="103"/>
      <c r="C9" s="643"/>
      <c r="D9" s="532"/>
      <c r="E9" s="542"/>
      <c r="F9" s="644" t="str">
        <f t="shared" si="0"/>
        <v>----</v>
      </c>
      <c r="G9" s="542"/>
      <c r="H9" s="644" t="str">
        <f t="shared" si="1"/>
        <v>----</v>
      </c>
      <c r="I9" s="537"/>
      <c r="J9" s="645" t="str">
        <f t="shared" si="2"/>
        <v>----</v>
      </c>
    </row>
    <row r="10" spans="1:11">
      <c r="A10" s="102"/>
      <c r="B10" s="103"/>
      <c r="C10" s="643"/>
      <c r="D10" s="532"/>
      <c r="E10" s="542"/>
      <c r="F10" s="644" t="str">
        <f t="shared" si="0"/>
        <v>----</v>
      </c>
      <c r="G10" s="542"/>
      <c r="H10" s="644" t="str">
        <f t="shared" si="1"/>
        <v>----</v>
      </c>
      <c r="I10" s="537"/>
      <c r="J10" s="645" t="str">
        <f t="shared" si="2"/>
        <v>----</v>
      </c>
    </row>
    <row r="11" spans="1:11">
      <c r="A11" s="102"/>
      <c r="B11" s="103"/>
      <c r="C11" s="643"/>
      <c r="D11" s="532"/>
      <c r="E11" s="542"/>
      <c r="F11" s="644" t="str">
        <f t="shared" si="0"/>
        <v>----</v>
      </c>
      <c r="G11" s="542"/>
      <c r="H11" s="644" t="str">
        <f t="shared" si="1"/>
        <v>----</v>
      </c>
      <c r="I11" s="537"/>
      <c r="J11" s="645" t="str">
        <f t="shared" si="2"/>
        <v>----</v>
      </c>
    </row>
    <row r="12" spans="1:11">
      <c r="A12" s="102"/>
      <c r="B12" s="103"/>
      <c r="C12" s="643"/>
      <c r="D12" s="532"/>
      <c r="E12" s="542"/>
      <c r="F12" s="644" t="str">
        <f t="shared" si="0"/>
        <v>----</v>
      </c>
      <c r="G12" s="542"/>
      <c r="H12" s="644" t="str">
        <f t="shared" si="1"/>
        <v>----</v>
      </c>
      <c r="I12" s="537"/>
      <c r="J12" s="645" t="str">
        <f t="shared" si="2"/>
        <v>----</v>
      </c>
    </row>
    <row r="13" spans="1:11">
      <c r="A13" s="102"/>
      <c r="B13" s="103"/>
      <c r="C13" s="643"/>
      <c r="D13" s="532"/>
      <c r="E13" s="542"/>
      <c r="F13" s="644" t="str">
        <f t="shared" si="0"/>
        <v>----</v>
      </c>
      <c r="G13" s="542"/>
      <c r="H13" s="644" t="str">
        <f t="shared" si="1"/>
        <v>----</v>
      </c>
      <c r="I13" s="537"/>
      <c r="J13" s="645" t="str">
        <f t="shared" si="2"/>
        <v>----</v>
      </c>
    </row>
    <row r="14" spans="1:11">
      <c r="A14" s="102"/>
      <c r="B14" s="103"/>
      <c r="C14" s="643"/>
      <c r="D14" s="532"/>
      <c r="E14" s="542"/>
      <c r="F14" s="644" t="str">
        <f t="shared" si="0"/>
        <v>----</v>
      </c>
      <c r="G14" s="542"/>
      <c r="H14" s="644" t="str">
        <f t="shared" si="1"/>
        <v>----</v>
      </c>
      <c r="I14" s="537"/>
      <c r="J14" s="645" t="str">
        <f t="shared" si="2"/>
        <v>----</v>
      </c>
    </row>
    <row r="15" spans="1:11">
      <c r="A15" s="102"/>
      <c r="B15" s="103"/>
      <c r="C15" s="643"/>
      <c r="D15" s="532"/>
      <c r="E15" s="542"/>
      <c r="F15" s="644" t="str">
        <f t="shared" si="0"/>
        <v>----</v>
      </c>
      <c r="G15" s="542"/>
      <c r="H15" s="644" t="str">
        <f t="shared" si="1"/>
        <v>----</v>
      </c>
      <c r="I15" s="537"/>
      <c r="J15" s="645" t="str">
        <f t="shared" si="2"/>
        <v>----</v>
      </c>
    </row>
    <row r="16" spans="1:11">
      <c r="A16" s="102"/>
      <c r="B16" s="103"/>
      <c r="C16" s="643"/>
      <c r="D16" s="532"/>
      <c r="E16" s="542"/>
      <c r="F16" s="644" t="str">
        <f t="shared" si="0"/>
        <v>----</v>
      </c>
      <c r="G16" s="542"/>
      <c r="H16" s="644" t="str">
        <f t="shared" si="1"/>
        <v>----</v>
      </c>
      <c r="I16" s="537"/>
      <c r="J16" s="645" t="str">
        <f t="shared" si="2"/>
        <v>----</v>
      </c>
    </row>
    <row r="17" spans="1:10">
      <c r="A17" s="102"/>
      <c r="B17" s="103"/>
      <c r="C17" s="643"/>
      <c r="D17" s="532"/>
      <c r="E17" s="542"/>
      <c r="F17" s="644" t="str">
        <f t="shared" si="0"/>
        <v>----</v>
      </c>
      <c r="G17" s="542"/>
      <c r="H17" s="644" t="str">
        <f t="shared" si="1"/>
        <v>----</v>
      </c>
      <c r="I17" s="537"/>
      <c r="J17" s="645" t="str">
        <f t="shared" si="2"/>
        <v>----</v>
      </c>
    </row>
    <row r="18" spans="1:10">
      <c r="A18" s="102"/>
      <c r="B18" s="103"/>
      <c r="C18" s="643"/>
      <c r="D18" s="532"/>
      <c r="E18" s="542"/>
      <c r="F18" s="644" t="str">
        <f t="shared" si="0"/>
        <v>----</v>
      </c>
      <c r="G18" s="542"/>
      <c r="H18" s="644" t="str">
        <f t="shared" si="1"/>
        <v>----</v>
      </c>
      <c r="I18" s="537"/>
      <c r="J18" s="645" t="str">
        <f t="shared" si="2"/>
        <v>----</v>
      </c>
    </row>
    <row r="19" spans="1:10">
      <c r="A19" s="102"/>
      <c r="B19" s="103"/>
      <c r="C19" s="643"/>
      <c r="D19" s="532"/>
      <c r="E19" s="542"/>
      <c r="F19" s="644" t="str">
        <f t="shared" si="0"/>
        <v>----</v>
      </c>
      <c r="G19" s="542"/>
      <c r="H19" s="644" t="str">
        <f t="shared" si="1"/>
        <v>----</v>
      </c>
      <c r="I19" s="537"/>
      <c r="J19" s="645" t="str">
        <f t="shared" si="2"/>
        <v>----</v>
      </c>
    </row>
    <row r="20" spans="1:10">
      <c r="A20" s="102"/>
      <c r="B20" s="103"/>
      <c r="C20" s="643"/>
      <c r="D20" s="532"/>
      <c r="E20" s="542"/>
      <c r="F20" s="644" t="str">
        <f t="shared" si="0"/>
        <v>----</v>
      </c>
      <c r="G20" s="542"/>
      <c r="H20" s="644" t="str">
        <f t="shared" si="1"/>
        <v>----</v>
      </c>
      <c r="I20" s="537"/>
      <c r="J20" s="645" t="str">
        <f t="shared" si="2"/>
        <v>----</v>
      </c>
    </row>
    <row r="21" spans="1:10">
      <c r="A21" s="102"/>
      <c r="B21" s="103"/>
      <c r="C21" s="643"/>
      <c r="D21" s="532"/>
      <c r="E21" s="542"/>
      <c r="F21" s="644" t="str">
        <f t="shared" si="0"/>
        <v>----</v>
      </c>
      <c r="G21" s="542"/>
      <c r="H21" s="644" t="str">
        <f t="shared" si="1"/>
        <v>----</v>
      </c>
      <c r="I21" s="537"/>
      <c r="J21" s="645" t="str">
        <f t="shared" si="2"/>
        <v>----</v>
      </c>
    </row>
    <row r="22" spans="1:10">
      <c r="A22" s="116"/>
      <c r="B22" s="117"/>
      <c r="C22" s="646"/>
      <c r="D22" s="533"/>
      <c r="E22" s="543"/>
      <c r="F22" s="647" t="str">
        <f t="shared" si="0"/>
        <v>----</v>
      </c>
      <c r="G22" s="543"/>
      <c r="H22" s="647" t="str">
        <f t="shared" si="1"/>
        <v>----</v>
      </c>
      <c r="I22" s="538"/>
      <c r="J22" s="648" t="str">
        <f t="shared" si="2"/>
        <v>----</v>
      </c>
    </row>
    <row r="23" spans="1:10" ht="15.75" thickBot="1">
      <c r="A23" s="74"/>
      <c r="B23" s="75"/>
      <c r="C23" s="106"/>
      <c r="D23" s="534"/>
      <c r="E23" s="544"/>
      <c r="F23" s="633" t="str">
        <f t="shared" si="0"/>
        <v>----</v>
      </c>
      <c r="G23" s="544"/>
      <c r="H23" s="633" t="str">
        <f t="shared" si="1"/>
        <v>----</v>
      </c>
      <c r="I23" s="539"/>
      <c r="J23" s="634" t="str">
        <f t="shared" si="2"/>
        <v>----</v>
      </c>
    </row>
    <row r="24" spans="1:10" ht="15.75" thickBot="1">
      <c r="A24" s="27"/>
      <c r="B24" s="27"/>
      <c r="C24" s="28"/>
      <c r="D24" s="28"/>
      <c r="E24" s="439"/>
      <c r="F24" s="441">
        <f>SUM(F4:F23)</f>
        <v>21770.080000000075</v>
      </c>
      <c r="G24" s="439"/>
      <c r="H24" s="441">
        <f>SUM(H4:H23)</f>
        <v>0</v>
      </c>
      <c r="I24" s="28"/>
      <c r="J24" s="69">
        <f>SUM(J4:J23)</f>
        <v>0</v>
      </c>
    </row>
    <row r="25" spans="1:10">
      <c r="A25" s="17"/>
      <c r="B25" s="17"/>
      <c r="C25" s="20"/>
      <c r="D25" s="20"/>
      <c r="E25" s="435"/>
      <c r="F25" s="435"/>
      <c r="G25" s="435"/>
      <c r="H25" s="435"/>
      <c r="I25" s="20"/>
      <c r="J25" s="20"/>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6902-5850-4EF9-82DC-74FDFB00E288}">
  <dimension ref="A1:J8"/>
  <sheetViews>
    <sheetView workbookViewId="0">
      <selection activeCell="N15" sqref="N15"/>
    </sheetView>
  </sheetViews>
  <sheetFormatPr defaultRowHeight="15"/>
  <cols>
    <col min="2" max="2" width="21.42578125" bestFit="1" customWidth="1"/>
    <col min="3" max="4" width="10.7109375" bestFit="1" customWidth="1"/>
    <col min="5" max="5" width="9.140625" style="432"/>
    <col min="6" max="6" width="11.28515625" style="432" customWidth="1"/>
    <col min="7" max="7" width="9.140625" style="432"/>
    <col min="8" max="8" width="11.28515625" style="432" customWidth="1"/>
    <col min="10" max="10" width="11.28515625" customWidth="1"/>
  </cols>
  <sheetData>
    <row r="1" spans="1:10" ht="15.75" thickBot="1">
      <c r="A1" s="952" t="s">
        <v>278</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57.75" thickBot="1">
      <c r="A3" s="960"/>
      <c r="B3" s="962"/>
      <c r="C3" s="962"/>
      <c r="D3" s="974"/>
      <c r="E3" s="460" t="s">
        <v>121</v>
      </c>
      <c r="F3" s="468" t="s">
        <v>113</v>
      </c>
      <c r="G3" s="460" t="s">
        <v>121</v>
      </c>
      <c r="H3" s="468" t="s">
        <v>113</v>
      </c>
      <c r="I3" s="478" t="s">
        <v>121</v>
      </c>
      <c r="J3" s="25" t="s">
        <v>113</v>
      </c>
    </row>
    <row r="4" spans="1:10">
      <c r="A4" s="70">
        <v>44516</v>
      </c>
      <c r="B4" s="71" t="s">
        <v>467</v>
      </c>
      <c r="C4" s="72">
        <v>728224.64</v>
      </c>
      <c r="D4" s="429">
        <f>C4</f>
        <v>728224.64</v>
      </c>
      <c r="E4" s="469"/>
      <c r="F4" s="470" t="str">
        <f>IF(ISBLANK(E4),"----",E4-D4)</f>
        <v>----</v>
      </c>
      <c r="G4" s="469"/>
      <c r="H4" s="470" t="str">
        <f>IF(OR(G4="Complete",ISBLANK(G4)),"----",G4-$D4)</f>
        <v>----</v>
      </c>
      <c r="I4" s="479"/>
      <c r="J4" s="73" t="str">
        <f>IF(OR(I4="Complete",ISBLANK(I4)),"----",I4-$D4)</f>
        <v>----</v>
      </c>
    </row>
    <row r="5" spans="1:10">
      <c r="A5" s="88"/>
      <c r="B5" s="101"/>
      <c r="C5" s="82"/>
      <c r="D5" s="431"/>
      <c r="E5" s="471"/>
      <c r="F5" s="472" t="str">
        <f>IF(ISBLANK(E5),"----",E5-D5)</f>
        <v>----</v>
      </c>
      <c r="G5" s="471"/>
      <c r="H5" s="472" t="str">
        <f>IF(OR(G5="Complete",ISBLANK(G5)),"----",G5-$D5)</f>
        <v>----</v>
      </c>
      <c r="I5" s="484"/>
      <c r="J5" s="83" t="str">
        <f>IF(OR(I5="Complete",ISBLANK(I5)),"----",I5-$D5)</f>
        <v>----</v>
      </c>
    </row>
    <row r="6" spans="1:10">
      <c r="A6" s="91"/>
      <c r="B6" s="92"/>
      <c r="C6" s="84"/>
      <c r="D6" s="477"/>
      <c r="E6" s="482"/>
      <c r="F6" s="483" t="str">
        <f>IF(ISBLANK(E6),"----",E6-D6)</f>
        <v>----</v>
      </c>
      <c r="G6" s="482"/>
      <c r="H6" s="483" t="str">
        <f>IF(OR(G6="Complete",ISBLANK(G6)),"----",G6-$D6)</f>
        <v>----</v>
      </c>
      <c r="I6" s="480"/>
      <c r="J6" s="85" t="str">
        <f>IF(OR(I6="Complete",ISBLANK(I6)),"----",I6-$D6)</f>
        <v>----</v>
      </c>
    </row>
    <row r="7" spans="1:10" ht="15.75" thickBot="1">
      <c r="A7" s="74"/>
      <c r="B7" s="75"/>
      <c r="C7" s="76"/>
      <c r="D7" s="430"/>
      <c r="E7" s="475"/>
      <c r="F7" s="476" t="str">
        <f>IF(ISBLANK(E7),"----",E7-D7)</f>
        <v>----</v>
      </c>
      <c r="G7" s="475"/>
      <c r="H7" s="476" t="str">
        <f>IF(OR(G7="Complete",ISBLANK(G7)),"----",G7-$D7)</f>
        <v>----</v>
      </c>
      <c r="I7" s="481"/>
      <c r="J7" s="77" t="str">
        <f>IF(OR(I7="Complete",ISBLANK(I7)),"----",I7-$D7)</f>
        <v>----</v>
      </c>
    </row>
    <row r="8" spans="1:10" ht="15.75" thickBot="1">
      <c r="A8" s="27"/>
      <c r="B8" s="27"/>
      <c r="C8" s="28"/>
      <c r="D8" s="28"/>
      <c r="E8" s="439"/>
      <c r="F8" s="441">
        <f>SUM(F4:F7)</f>
        <v>0</v>
      </c>
      <c r="G8" s="439"/>
      <c r="H8" s="441">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9D7D7-266B-4285-9D88-B4704A8688D5}">
  <dimension ref="A1:J22"/>
  <sheetViews>
    <sheetView workbookViewId="0">
      <selection activeCell="E4" sqref="E4"/>
    </sheetView>
  </sheetViews>
  <sheetFormatPr defaultRowHeight="15"/>
  <cols>
    <col min="2" max="2" width="22.28515625" bestFit="1" customWidth="1"/>
    <col min="3" max="4" width="11.42578125" bestFit="1" customWidth="1"/>
    <col min="5" max="8" width="9.140625" style="432"/>
  </cols>
  <sheetData>
    <row r="1" spans="1:10" ht="15.75" thickBot="1">
      <c r="A1" s="952" t="s">
        <v>279</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69" thickBot="1">
      <c r="A3" s="960"/>
      <c r="B3" s="962"/>
      <c r="C3" s="962"/>
      <c r="D3" s="974"/>
      <c r="E3" s="460" t="s">
        <v>121</v>
      </c>
      <c r="F3" s="468" t="s">
        <v>113</v>
      </c>
      <c r="G3" s="460" t="s">
        <v>121</v>
      </c>
      <c r="H3" s="468" t="s">
        <v>113</v>
      </c>
      <c r="I3" s="478" t="s">
        <v>121</v>
      </c>
      <c r="J3" s="25" t="s">
        <v>113</v>
      </c>
    </row>
    <row r="4" spans="1:10">
      <c r="A4" s="70">
        <v>44243</v>
      </c>
      <c r="B4" s="71" t="s">
        <v>401</v>
      </c>
      <c r="C4" s="72">
        <v>472128</v>
      </c>
      <c r="D4" s="429">
        <v>280958</v>
      </c>
      <c r="E4" s="469"/>
      <c r="F4" s="470" t="str">
        <f t="shared" ref="F4:F21" si="0">IF(ISBLANK(E4),"----",E4-D4)</f>
        <v>----</v>
      </c>
      <c r="G4" s="469"/>
      <c r="H4" s="470" t="str">
        <f t="shared" ref="H4:H21" si="1">IF(OR(G4="Complete",ISBLANK(G4)),"----",G4-$D4)</f>
        <v>----</v>
      </c>
      <c r="I4" s="479"/>
      <c r="J4" s="73" t="str">
        <f t="shared" ref="J4:J21" si="2">IF(OR(I4="Complete",ISBLANK(I4)),"----",I4-$D4)</f>
        <v>----</v>
      </c>
    </row>
    <row r="5" spans="1:10">
      <c r="A5" s="88">
        <v>45188</v>
      </c>
      <c r="B5" s="101" t="s">
        <v>659</v>
      </c>
      <c r="C5" s="374">
        <v>1201924.93</v>
      </c>
      <c r="D5" s="560">
        <f>C5</f>
        <v>1201924.93</v>
      </c>
      <c r="E5" s="471"/>
      <c r="F5" s="472" t="str">
        <f t="shared" si="0"/>
        <v>----</v>
      </c>
      <c r="G5" s="471"/>
      <c r="H5" s="472" t="str">
        <f t="shared" si="1"/>
        <v>----</v>
      </c>
      <c r="I5" s="484"/>
      <c r="J5" s="83" t="str">
        <f t="shared" si="2"/>
        <v>----</v>
      </c>
    </row>
    <row r="6" spans="1:10">
      <c r="A6" s="91"/>
      <c r="B6" s="92"/>
      <c r="C6" s="84"/>
      <c r="D6" s="477"/>
      <c r="E6" s="482"/>
      <c r="F6" s="483" t="str">
        <f t="shared" si="0"/>
        <v>----</v>
      </c>
      <c r="G6" s="482"/>
      <c r="H6" s="483" t="str">
        <f t="shared" si="1"/>
        <v>----</v>
      </c>
      <c r="I6" s="480"/>
      <c r="J6" s="85" t="str">
        <f t="shared" si="2"/>
        <v>----</v>
      </c>
    </row>
    <row r="7" spans="1:10">
      <c r="A7" s="88"/>
      <c r="B7" s="101"/>
      <c r="C7" s="82"/>
      <c r="D7" s="431"/>
      <c r="E7" s="471"/>
      <c r="F7" s="472" t="str">
        <f t="shared" si="0"/>
        <v>----</v>
      </c>
      <c r="G7" s="471"/>
      <c r="H7" s="472" t="str">
        <f t="shared" si="1"/>
        <v>----</v>
      </c>
      <c r="I7" s="484"/>
      <c r="J7" s="83" t="str">
        <f t="shared" si="2"/>
        <v>----</v>
      </c>
    </row>
    <row r="8" spans="1:10">
      <c r="A8" s="91"/>
      <c r="B8" s="92"/>
      <c r="C8" s="84"/>
      <c r="D8" s="477"/>
      <c r="E8" s="482"/>
      <c r="F8" s="483" t="str">
        <f t="shared" si="0"/>
        <v>----</v>
      </c>
      <c r="G8" s="482"/>
      <c r="H8" s="483" t="str">
        <f t="shared" si="1"/>
        <v>----</v>
      </c>
      <c r="I8" s="480"/>
      <c r="J8" s="85" t="str">
        <f t="shared" si="2"/>
        <v>----</v>
      </c>
    </row>
    <row r="9" spans="1:10">
      <c r="A9" s="88"/>
      <c r="B9" s="101"/>
      <c r="C9" s="82"/>
      <c r="D9" s="431"/>
      <c r="E9" s="471"/>
      <c r="F9" s="472" t="str">
        <f t="shared" si="0"/>
        <v>----</v>
      </c>
      <c r="G9" s="471"/>
      <c r="H9" s="472" t="str">
        <f t="shared" si="1"/>
        <v>----</v>
      </c>
      <c r="I9" s="484"/>
      <c r="J9" s="83" t="str">
        <f t="shared" si="2"/>
        <v>----</v>
      </c>
    </row>
    <row r="10" spans="1:10">
      <c r="A10" s="91"/>
      <c r="B10" s="92"/>
      <c r="C10" s="84"/>
      <c r="D10" s="477"/>
      <c r="E10" s="482"/>
      <c r="F10" s="483" t="str">
        <f t="shared" si="0"/>
        <v>----</v>
      </c>
      <c r="G10" s="482"/>
      <c r="H10" s="483" t="str">
        <f t="shared" si="1"/>
        <v>----</v>
      </c>
      <c r="I10" s="480"/>
      <c r="J10" s="85" t="str">
        <f t="shared" si="2"/>
        <v>----</v>
      </c>
    </row>
    <row r="11" spans="1:10">
      <c r="A11" s="88"/>
      <c r="B11" s="101"/>
      <c r="C11" s="82"/>
      <c r="D11" s="431"/>
      <c r="E11" s="471"/>
      <c r="F11" s="472" t="str">
        <f t="shared" si="0"/>
        <v>----</v>
      </c>
      <c r="G11" s="471"/>
      <c r="H11" s="472" t="str">
        <f t="shared" si="1"/>
        <v>----</v>
      </c>
      <c r="I11" s="484"/>
      <c r="J11" s="83" t="str">
        <f t="shared" si="2"/>
        <v>----</v>
      </c>
    </row>
    <row r="12" spans="1:10">
      <c r="A12" s="91"/>
      <c r="B12" s="92"/>
      <c r="C12" s="84"/>
      <c r="D12" s="477"/>
      <c r="E12" s="482"/>
      <c r="F12" s="483" t="str">
        <f t="shared" si="0"/>
        <v>----</v>
      </c>
      <c r="G12" s="482"/>
      <c r="H12" s="483" t="str">
        <f t="shared" si="1"/>
        <v>----</v>
      </c>
      <c r="I12" s="480"/>
      <c r="J12" s="85" t="str">
        <f t="shared" si="2"/>
        <v>----</v>
      </c>
    </row>
    <row r="13" spans="1:10">
      <c r="A13" s="88"/>
      <c r="B13" s="101"/>
      <c r="C13" s="82"/>
      <c r="D13" s="431"/>
      <c r="E13" s="471"/>
      <c r="F13" s="472" t="str">
        <f t="shared" si="0"/>
        <v>----</v>
      </c>
      <c r="G13" s="471"/>
      <c r="H13" s="472" t="str">
        <f t="shared" si="1"/>
        <v>----</v>
      </c>
      <c r="I13" s="484"/>
      <c r="J13" s="83" t="str">
        <f t="shared" si="2"/>
        <v>----</v>
      </c>
    </row>
    <row r="14" spans="1:10">
      <c r="A14" s="91"/>
      <c r="B14" s="92"/>
      <c r="C14" s="84"/>
      <c r="D14" s="477"/>
      <c r="E14" s="482"/>
      <c r="F14" s="483" t="str">
        <f t="shared" si="0"/>
        <v>----</v>
      </c>
      <c r="G14" s="482"/>
      <c r="H14" s="483" t="str">
        <f t="shared" si="1"/>
        <v>----</v>
      </c>
      <c r="I14" s="480"/>
      <c r="J14" s="85" t="str">
        <f t="shared" si="2"/>
        <v>----</v>
      </c>
    </row>
    <row r="15" spans="1:10">
      <c r="A15" s="88"/>
      <c r="B15" s="101"/>
      <c r="C15" s="82"/>
      <c r="D15" s="431"/>
      <c r="E15" s="471"/>
      <c r="F15" s="472" t="str">
        <f t="shared" si="0"/>
        <v>----</v>
      </c>
      <c r="G15" s="471"/>
      <c r="H15" s="472" t="str">
        <f t="shared" si="1"/>
        <v>----</v>
      </c>
      <c r="I15" s="484"/>
      <c r="J15" s="83" t="str">
        <f t="shared" si="2"/>
        <v>----</v>
      </c>
    </row>
    <row r="16" spans="1:10">
      <c r="A16" s="91"/>
      <c r="B16" s="92"/>
      <c r="C16" s="84"/>
      <c r="D16" s="477"/>
      <c r="E16" s="482"/>
      <c r="F16" s="483" t="str">
        <f t="shared" si="0"/>
        <v>----</v>
      </c>
      <c r="G16" s="482"/>
      <c r="H16" s="483" t="str">
        <f t="shared" si="1"/>
        <v>----</v>
      </c>
      <c r="I16" s="480"/>
      <c r="J16" s="85" t="str">
        <f t="shared" si="2"/>
        <v>----</v>
      </c>
    </row>
    <row r="17" spans="1:10">
      <c r="A17" s="88"/>
      <c r="B17" s="101"/>
      <c r="C17" s="82"/>
      <c r="D17" s="431"/>
      <c r="E17" s="471"/>
      <c r="F17" s="472" t="str">
        <f t="shared" si="0"/>
        <v>----</v>
      </c>
      <c r="G17" s="471"/>
      <c r="H17" s="472" t="str">
        <f t="shared" si="1"/>
        <v>----</v>
      </c>
      <c r="I17" s="484"/>
      <c r="J17" s="83" t="str">
        <f t="shared" si="2"/>
        <v>----</v>
      </c>
    </row>
    <row r="18" spans="1:10">
      <c r="A18" s="91"/>
      <c r="B18" s="92"/>
      <c r="C18" s="84"/>
      <c r="D18" s="477"/>
      <c r="E18" s="482"/>
      <c r="F18" s="483" t="str">
        <f t="shared" si="0"/>
        <v>----</v>
      </c>
      <c r="G18" s="482"/>
      <c r="H18" s="483" t="str">
        <f t="shared" si="1"/>
        <v>----</v>
      </c>
      <c r="I18" s="480"/>
      <c r="J18" s="85" t="str">
        <f t="shared" si="2"/>
        <v>----</v>
      </c>
    </row>
    <row r="19" spans="1:10">
      <c r="A19" s="88"/>
      <c r="B19" s="101"/>
      <c r="C19" s="82"/>
      <c r="D19" s="431"/>
      <c r="E19" s="471"/>
      <c r="F19" s="472" t="str">
        <f t="shared" si="0"/>
        <v>----</v>
      </c>
      <c r="G19" s="471"/>
      <c r="H19" s="472" t="str">
        <f t="shared" si="1"/>
        <v>----</v>
      </c>
      <c r="I19" s="484"/>
      <c r="J19" s="83" t="str">
        <f t="shared" si="2"/>
        <v>----</v>
      </c>
    </row>
    <row r="20" spans="1:10">
      <c r="A20" s="91"/>
      <c r="B20" s="92"/>
      <c r="C20" s="84"/>
      <c r="D20" s="477"/>
      <c r="E20" s="482"/>
      <c r="F20" s="483" t="str">
        <f t="shared" si="0"/>
        <v>----</v>
      </c>
      <c r="G20" s="482"/>
      <c r="H20" s="483" t="str">
        <f t="shared" si="1"/>
        <v>----</v>
      </c>
      <c r="I20" s="480"/>
      <c r="J20" s="85" t="str">
        <f t="shared" si="2"/>
        <v>----</v>
      </c>
    </row>
    <row r="21" spans="1:10" ht="15.75" thickBot="1">
      <c r="A21" s="74"/>
      <c r="B21" s="75"/>
      <c r="C21" s="76"/>
      <c r="D21" s="430"/>
      <c r="E21" s="475"/>
      <c r="F21" s="476" t="str">
        <f t="shared" si="0"/>
        <v>----</v>
      </c>
      <c r="G21" s="475"/>
      <c r="H21" s="476" t="str">
        <f t="shared" si="1"/>
        <v>----</v>
      </c>
      <c r="I21" s="481"/>
      <c r="J21" s="77" t="str">
        <f t="shared" si="2"/>
        <v>----</v>
      </c>
    </row>
    <row r="22" spans="1:10" ht="15.75" thickBot="1">
      <c r="A22" s="27"/>
      <c r="B22" s="27"/>
      <c r="C22" s="28"/>
      <c r="D22" s="28"/>
      <c r="E22" s="439"/>
      <c r="F22" s="441">
        <f>SUM(F4:F21)</f>
        <v>0</v>
      </c>
      <c r="G22" s="439"/>
      <c r="H22" s="441">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49891-82B8-47CB-8A48-2A9CFC2E79F4}">
  <dimension ref="A1:L31"/>
  <sheetViews>
    <sheetView workbookViewId="0">
      <selection activeCell="J15" sqref="J15"/>
    </sheetView>
  </sheetViews>
  <sheetFormatPr defaultRowHeight="15"/>
  <cols>
    <col min="2" max="2" width="23.7109375" customWidth="1"/>
    <col min="3" max="3" width="12" bestFit="1" customWidth="1"/>
    <col min="4" max="4" width="12.28515625" customWidth="1"/>
    <col min="5" max="5" width="12" style="432" bestFit="1" customWidth="1"/>
    <col min="6" max="6" width="11.7109375" style="432" customWidth="1"/>
    <col min="7" max="7" width="12" style="432" bestFit="1" customWidth="1"/>
    <col min="8" max="8" width="11.7109375" style="432" customWidth="1"/>
    <col min="9" max="9" width="12" bestFit="1" customWidth="1"/>
    <col min="10" max="10" width="11.7109375" customWidth="1"/>
    <col min="12" max="12" width="11.140625" bestFit="1" customWidth="1"/>
  </cols>
  <sheetData>
    <row r="1" spans="1:12" ht="15.75" thickBot="1">
      <c r="A1" s="952" t="s">
        <v>133</v>
      </c>
      <c r="B1" s="953"/>
      <c r="C1" s="953"/>
      <c r="D1" s="953"/>
      <c r="E1" s="953"/>
      <c r="F1" s="953"/>
      <c r="G1" s="953"/>
      <c r="H1" s="953"/>
      <c r="I1" s="953"/>
      <c r="J1" s="954"/>
    </row>
    <row r="2" spans="1:12" s="432" customFormat="1">
      <c r="A2" s="959" t="s">
        <v>110</v>
      </c>
      <c r="B2" s="961" t="s">
        <v>111</v>
      </c>
      <c r="C2" s="961" t="s">
        <v>112</v>
      </c>
      <c r="D2" s="973" t="s">
        <v>120</v>
      </c>
      <c r="E2" s="957" t="s">
        <v>701</v>
      </c>
      <c r="F2" s="958"/>
      <c r="G2" s="957" t="s">
        <v>702</v>
      </c>
      <c r="H2" s="958"/>
      <c r="I2" s="932" t="s">
        <v>796</v>
      </c>
      <c r="J2" s="933"/>
    </row>
    <row r="3" spans="1:12" ht="57.75" thickBot="1">
      <c r="A3" s="960"/>
      <c r="B3" s="962"/>
      <c r="C3" s="962"/>
      <c r="D3" s="974"/>
      <c r="E3" s="460" t="s">
        <v>121</v>
      </c>
      <c r="F3" s="468" t="s">
        <v>113</v>
      </c>
      <c r="G3" s="460" t="s">
        <v>121</v>
      </c>
      <c r="H3" s="468" t="s">
        <v>113</v>
      </c>
      <c r="I3" s="478" t="s">
        <v>121</v>
      </c>
      <c r="J3" s="25" t="s">
        <v>113</v>
      </c>
    </row>
    <row r="4" spans="1:12">
      <c r="A4" s="70">
        <v>43753</v>
      </c>
      <c r="B4" s="71" t="s">
        <v>240</v>
      </c>
      <c r="C4" s="72">
        <v>1729227</v>
      </c>
      <c r="D4" s="429">
        <f>C4</f>
        <v>1729227</v>
      </c>
      <c r="E4" s="469">
        <v>1782029.72</v>
      </c>
      <c r="F4" s="470">
        <f t="shared" ref="F4:F30" si="0">IF(ISBLANK(E4),"----",E4-D4)</f>
        <v>52802.719999999972</v>
      </c>
      <c r="G4" s="469" t="s">
        <v>703</v>
      </c>
      <c r="H4" s="470" t="str">
        <f t="shared" ref="H4:H30" si="1">IF(OR(G4="Complete",ISBLANK(G4)),"----",G4-$D4)</f>
        <v>----</v>
      </c>
      <c r="I4" s="479" t="s">
        <v>703</v>
      </c>
      <c r="J4" s="73" t="str">
        <f t="shared" ref="J4:J30" si="2">IF(OR(I4="Complete",ISBLANK(I4)),"----",I4-$D4)</f>
        <v>----</v>
      </c>
    </row>
    <row r="5" spans="1:12">
      <c r="A5" s="88">
        <v>43942</v>
      </c>
      <c r="B5" s="101" t="s">
        <v>241</v>
      </c>
      <c r="C5" s="82">
        <v>374256.25</v>
      </c>
      <c r="D5" s="431">
        <f>C5</f>
        <v>374256.25</v>
      </c>
      <c r="E5" s="471">
        <v>368238.8</v>
      </c>
      <c r="F5" s="472">
        <f t="shared" si="0"/>
        <v>-6017.4500000000116</v>
      </c>
      <c r="G5" s="471" t="s">
        <v>703</v>
      </c>
      <c r="H5" s="472" t="str">
        <f t="shared" si="1"/>
        <v>----</v>
      </c>
      <c r="I5" s="484" t="s">
        <v>703</v>
      </c>
      <c r="J5" s="83" t="str">
        <f t="shared" si="2"/>
        <v>----</v>
      </c>
    </row>
    <row r="6" spans="1:12">
      <c r="A6" s="102">
        <v>44124</v>
      </c>
      <c r="B6" s="103" t="s">
        <v>317</v>
      </c>
      <c r="C6" s="87">
        <v>728997.45</v>
      </c>
      <c r="D6" s="466">
        <v>373967.45</v>
      </c>
      <c r="E6" s="473"/>
      <c r="F6" s="472" t="str">
        <f t="shared" si="0"/>
        <v>----</v>
      </c>
      <c r="G6" s="473"/>
      <c r="H6" s="472" t="str">
        <f t="shared" si="1"/>
        <v>----</v>
      </c>
      <c r="I6" s="734">
        <f>715549.58-L6</f>
        <v>360519.57999999996</v>
      </c>
      <c r="J6" s="83">
        <f t="shared" si="2"/>
        <v>-13447.870000000054</v>
      </c>
      <c r="K6" t="s">
        <v>422</v>
      </c>
      <c r="L6" s="719">
        <v>355030</v>
      </c>
    </row>
    <row r="7" spans="1:12">
      <c r="A7" s="130">
        <v>44761</v>
      </c>
      <c r="B7" s="226" t="s">
        <v>547</v>
      </c>
      <c r="C7" s="227">
        <v>1455608.9</v>
      </c>
      <c r="D7" s="431">
        <f>C7</f>
        <v>1455608.9</v>
      </c>
      <c r="E7" s="577"/>
      <c r="F7" s="472" t="str">
        <f t="shared" si="0"/>
        <v>----</v>
      </c>
      <c r="G7" s="577"/>
      <c r="H7" s="472" t="str">
        <f t="shared" si="1"/>
        <v>----</v>
      </c>
      <c r="I7" s="576"/>
      <c r="J7" s="83" t="str">
        <f t="shared" si="2"/>
        <v>----</v>
      </c>
    </row>
    <row r="8" spans="1:12">
      <c r="A8" s="130">
        <v>44852</v>
      </c>
      <c r="B8" s="226" t="s">
        <v>578</v>
      </c>
      <c r="C8" s="227">
        <v>2857469.91</v>
      </c>
      <c r="D8" s="574">
        <v>1857469.9100000001</v>
      </c>
      <c r="E8" s="577"/>
      <c r="F8" s="472" t="str">
        <f t="shared" si="0"/>
        <v>----</v>
      </c>
      <c r="G8" s="577"/>
      <c r="H8" s="472" t="str">
        <f t="shared" si="1"/>
        <v>----</v>
      </c>
      <c r="I8" s="576"/>
      <c r="J8" s="83" t="str">
        <f t="shared" si="2"/>
        <v>----</v>
      </c>
      <c r="K8" t="s">
        <v>574</v>
      </c>
    </row>
    <row r="9" spans="1:12">
      <c r="A9" s="130">
        <v>45216</v>
      </c>
      <c r="B9" s="226" t="s">
        <v>665</v>
      </c>
      <c r="C9" s="376">
        <v>1704845.85</v>
      </c>
      <c r="D9" s="575">
        <f>C9</f>
        <v>1704845.85</v>
      </c>
      <c r="E9" s="577"/>
      <c r="F9" s="472" t="str">
        <f t="shared" si="0"/>
        <v>----</v>
      </c>
      <c r="G9" s="577"/>
      <c r="H9" s="472" t="str">
        <f t="shared" si="1"/>
        <v>----</v>
      </c>
      <c r="I9" s="576">
        <v>1801911.97</v>
      </c>
      <c r="J9" s="83">
        <f t="shared" si="2"/>
        <v>97066.119999999879</v>
      </c>
    </row>
    <row r="10" spans="1:12">
      <c r="A10" s="130"/>
      <c r="B10" s="226"/>
      <c r="C10" s="227"/>
      <c r="D10" s="574"/>
      <c r="E10" s="577"/>
      <c r="F10" s="472" t="str">
        <f t="shared" si="0"/>
        <v>----</v>
      </c>
      <c r="G10" s="577"/>
      <c r="H10" s="472" t="str">
        <f t="shared" si="1"/>
        <v>----</v>
      </c>
      <c r="I10" s="576"/>
      <c r="J10" s="83" t="str">
        <f t="shared" si="2"/>
        <v>----</v>
      </c>
    </row>
    <row r="11" spans="1:12">
      <c r="A11" s="130"/>
      <c r="B11" s="226"/>
      <c r="C11" s="227"/>
      <c r="D11" s="574"/>
      <c r="E11" s="577"/>
      <c r="F11" s="472" t="str">
        <f t="shared" si="0"/>
        <v>----</v>
      </c>
      <c r="G11" s="577"/>
      <c r="H11" s="472" t="str">
        <f t="shared" si="1"/>
        <v>----</v>
      </c>
      <c r="I11" s="576"/>
      <c r="J11" s="83" t="str">
        <f t="shared" si="2"/>
        <v>----</v>
      </c>
    </row>
    <row r="12" spans="1:12">
      <c r="A12" s="130"/>
      <c r="B12" s="226"/>
      <c r="C12" s="227"/>
      <c r="D12" s="574"/>
      <c r="E12" s="577"/>
      <c r="F12" s="472" t="str">
        <f t="shared" si="0"/>
        <v>----</v>
      </c>
      <c r="G12" s="577"/>
      <c r="H12" s="472" t="str">
        <f t="shared" si="1"/>
        <v>----</v>
      </c>
      <c r="I12" s="576"/>
      <c r="J12" s="83" t="str">
        <f t="shared" si="2"/>
        <v>----</v>
      </c>
    </row>
    <row r="13" spans="1:12">
      <c r="A13" s="130"/>
      <c r="B13" s="226"/>
      <c r="C13" s="227"/>
      <c r="D13" s="574"/>
      <c r="E13" s="577"/>
      <c r="F13" s="472" t="str">
        <f t="shared" si="0"/>
        <v>----</v>
      </c>
      <c r="G13" s="577"/>
      <c r="H13" s="472" t="str">
        <f t="shared" si="1"/>
        <v>----</v>
      </c>
      <c r="I13" s="576"/>
      <c r="J13" s="83" t="str">
        <f t="shared" si="2"/>
        <v>----</v>
      </c>
    </row>
    <row r="14" spans="1:12">
      <c r="A14" s="130"/>
      <c r="B14" s="226"/>
      <c r="C14" s="227"/>
      <c r="D14" s="574"/>
      <c r="E14" s="577"/>
      <c r="F14" s="472" t="str">
        <f t="shared" si="0"/>
        <v>----</v>
      </c>
      <c r="G14" s="577"/>
      <c r="H14" s="472" t="str">
        <f t="shared" si="1"/>
        <v>----</v>
      </c>
      <c r="I14" s="576"/>
      <c r="J14" s="83" t="str">
        <f t="shared" si="2"/>
        <v>----</v>
      </c>
    </row>
    <row r="15" spans="1:12">
      <c r="A15" s="130"/>
      <c r="B15" s="226"/>
      <c r="C15" s="227"/>
      <c r="D15" s="574"/>
      <c r="E15" s="577"/>
      <c r="F15" s="472" t="str">
        <f t="shared" si="0"/>
        <v>----</v>
      </c>
      <c r="G15" s="577"/>
      <c r="H15" s="472" t="str">
        <f t="shared" si="1"/>
        <v>----</v>
      </c>
      <c r="I15" s="576"/>
      <c r="J15" s="83" t="str">
        <f t="shared" si="2"/>
        <v>----</v>
      </c>
    </row>
    <row r="16" spans="1:12">
      <c r="A16" s="130"/>
      <c r="B16" s="226"/>
      <c r="C16" s="227"/>
      <c r="D16" s="574"/>
      <c r="E16" s="577"/>
      <c r="F16" s="472" t="str">
        <f t="shared" si="0"/>
        <v>----</v>
      </c>
      <c r="G16" s="577"/>
      <c r="H16" s="472" t="str">
        <f t="shared" si="1"/>
        <v>----</v>
      </c>
      <c r="I16" s="576"/>
      <c r="J16" s="83" t="str">
        <f t="shared" si="2"/>
        <v>----</v>
      </c>
    </row>
    <row r="17" spans="1:10">
      <c r="A17" s="130"/>
      <c r="B17" s="226"/>
      <c r="C17" s="227"/>
      <c r="D17" s="574"/>
      <c r="E17" s="577"/>
      <c r="F17" s="472" t="str">
        <f t="shared" si="0"/>
        <v>----</v>
      </c>
      <c r="G17" s="577"/>
      <c r="H17" s="472" t="str">
        <f t="shared" si="1"/>
        <v>----</v>
      </c>
      <c r="I17" s="576"/>
      <c r="J17" s="83" t="str">
        <f t="shared" si="2"/>
        <v>----</v>
      </c>
    </row>
    <row r="18" spans="1:10">
      <c r="A18" s="130"/>
      <c r="B18" s="226"/>
      <c r="C18" s="227"/>
      <c r="D18" s="574"/>
      <c r="E18" s="577"/>
      <c r="F18" s="472" t="str">
        <f t="shared" si="0"/>
        <v>----</v>
      </c>
      <c r="G18" s="577"/>
      <c r="H18" s="472" t="str">
        <f t="shared" si="1"/>
        <v>----</v>
      </c>
      <c r="I18" s="576"/>
      <c r="J18" s="83" t="str">
        <f t="shared" si="2"/>
        <v>----</v>
      </c>
    </row>
    <row r="19" spans="1:10">
      <c r="A19" s="130"/>
      <c r="B19" s="226"/>
      <c r="C19" s="227"/>
      <c r="D19" s="574"/>
      <c r="E19" s="577"/>
      <c r="F19" s="472" t="str">
        <f t="shared" si="0"/>
        <v>----</v>
      </c>
      <c r="G19" s="577"/>
      <c r="H19" s="472" t="str">
        <f t="shared" si="1"/>
        <v>----</v>
      </c>
      <c r="I19" s="576"/>
      <c r="J19" s="83" t="str">
        <f t="shared" si="2"/>
        <v>----</v>
      </c>
    </row>
    <row r="20" spans="1:10">
      <c r="A20" s="130"/>
      <c r="B20" s="226"/>
      <c r="C20" s="227"/>
      <c r="D20" s="574"/>
      <c r="E20" s="577"/>
      <c r="F20" s="472" t="str">
        <f t="shared" si="0"/>
        <v>----</v>
      </c>
      <c r="G20" s="577"/>
      <c r="H20" s="472" t="str">
        <f t="shared" si="1"/>
        <v>----</v>
      </c>
      <c r="I20" s="576"/>
      <c r="J20" s="83" t="str">
        <f t="shared" si="2"/>
        <v>----</v>
      </c>
    </row>
    <row r="21" spans="1:10">
      <c r="A21" s="130"/>
      <c r="B21" s="226"/>
      <c r="C21" s="227"/>
      <c r="D21" s="574"/>
      <c r="E21" s="577"/>
      <c r="F21" s="472" t="str">
        <f t="shared" si="0"/>
        <v>----</v>
      </c>
      <c r="G21" s="577"/>
      <c r="H21" s="472" t="str">
        <f t="shared" si="1"/>
        <v>----</v>
      </c>
      <c r="I21" s="576"/>
      <c r="J21" s="83" t="str">
        <f t="shared" si="2"/>
        <v>----</v>
      </c>
    </row>
    <row r="22" spans="1:10">
      <c r="A22" s="130"/>
      <c r="B22" s="226"/>
      <c r="C22" s="227"/>
      <c r="D22" s="574"/>
      <c r="E22" s="577"/>
      <c r="F22" s="472" t="str">
        <f t="shared" si="0"/>
        <v>----</v>
      </c>
      <c r="G22" s="577"/>
      <c r="H22" s="472" t="str">
        <f t="shared" si="1"/>
        <v>----</v>
      </c>
      <c r="I22" s="576"/>
      <c r="J22" s="83" t="str">
        <f t="shared" si="2"/>
        <v>----</v>
      </c>
    </row>
    <row r="23" spans="1:10">
      <c r="A23" s="130"/>
      <c r="B23" s="226"/>
      <c r="C23" s="227"/>
      <c r="D23" s="574"/>
      <c r="E23" s="577"/>
      <c r="F23" s="472" t="str">
        <f t="shared" si="0"/>
        <v>----</v>
      </c>
      <c r="G23" s="577"/>
      <c r="H23" s="472" t="str">
        <f t="shared" si="1"/>
        <v>----</v>
      </c>
      <c r="I23" s="576"/>
      <c r="J23" s="83" t="str">
        <f t="shared" si="2"/>
        <v>----</v>
      </c>
    </row>
    <row r="24" spans="1:10">
      <c r="A24" s="130"/>
      <c r="B24" s="226"/>
      <c r="C24" s="227"/>
      <c r="D24" s="574"/>
      <c r="E24" s="577"/>
      <c r="F24" s="472" t="str">
        <f t="shared" si="0"/>
        <v>----</v>
      </c>
      <c r="G24" s="577"/>
      <c r="H24" s="472" t="str">
        <f t="shared" si="1"/>
        <v>----</v>
      </c>
      <c r="I24" s="576"/>
      <c r="J24" s="83" t="str">
        <f t="shared" si="2"/>
        <v>----</v>
      </c>
    </row>
    <row r="25" spans="1:10">
      <c r="A25" s="130"/>
      <c r="B25" s="226"/>
      <c r="C25" s="227"/>
      <c r="D25" s="574"/>
      <c r="E25" s="577"/>
      <c r="F25" s="472" t="str">
        <f t="shared" si="0"/>
        <v>----</v>
      </c>
      <c r="G25" s="577"/>
      <c r="H25" s="472" t="str">
        <f t="shared" si="1"/>
        <v>----</v>
      </c>
      <c r="I25" s="576"/>
      <c r="J25" s="83" t="str">
        <f t="shared" si="2"/>
        <v>----</v>
      </c>
    </row>
    <row r="26" spans="1:10">
      <c r="A26" s="130"/>
      <c r="B26" s="226"/>
      <c r="C26" s="227"/>
      <c r="D26" s="574"/>
      <c r="E26" s="577"/>
      <c r="F26" s="472" t="str">
        <f t="shared" si="0"/>
        <v>----</v>
      </c>
      <c r="G26" s="577"/>
      <c r="H26" s="472" t="str">
        <f t="shared" si="1"/>
        <v>----</v>
      </c>
      <c r="I26" s="576"/>
      <c r="J26" s="83" t="str">
        <f t="shared" si="2"/>
        <v>----</v>
      </c>
    </row>
    <row r="27" spans="1:10">
      <c r="A27" s="130"/>
      <c r="B27" s="226"/>
      <c r="C27" s="227"/>
      <c r="D27" s="574"/>
      <c r="E27" s="577"/>
      <c r="F27" s="472" t="str">
        <f t="shared" si="0"/>
        <v>----</v>
      </c>
      <c r="G27" s="577"/>
      <c r="H27" s="472" t="str">
        <f t="shared" si="1"/>
        <v>----</v>
      </c>
      <c r="I27" s="576"/>
      <c r="J27" s="83" t="str">
        <f t="shared" si="2"/>
        <v>----</v>
      </c>
    </row>
    <row r="28" spans="1:10">
      <c r="A28" s="130"/>
      <c r="B28" s="226"/>
      <c r="C28" s="227"/>
      <c r="D28" s="574"/>
      <c r="E28" s="577"/>
      <c r="F28" s="472" t="str">
        <f t="shared" si="0"/>
        <v>----</v>
      </c>
      <c r="G28" s="577"/>
      <c r="H28" s="472" t="str">
        <f t="shared" si="1"/>
        <v>----</v>
      </c>
      <c r="I28" s="576"/>
      <c r="J28" s="83" t="str">
        <f t="shared" si="2"/>
        <v>----</v>
      </c>
    </row>
    <row r="29" spans="1:10">
      <c r="A29" s="116"/>
      <c r="B29" s="117"/>
      <c r="C29" s="118"/>
      <c r="D29" s="467"/>
      <c r="E29" s="474"/>
      <c r="F29" s="472" t="str">
        <f t="shared" si="0"/>
        <v>----</v>
      </c>
      <c r="G29" s="474"/>
      <c r="H29" s="472" t="str">
        <f t="shared" si="1"/>
        <v>----</v>
      </c>
      <c r="I29" s="488"/>
      <c r="J29" s="83" t="str">
        <f t="shared" si="2"/>
        <v>----</v>
      </c>
    </row>
    <row r="30" spans="1:10" ht="15.75" thickBot="1">
      <c r="A30" s="74"/>
      <c r="B30" s="75"/>
      <c r="C30" s="76"/>
      <c r="D30" s="430"/>
      <c r="E30" s="475"/>
      <c r="F30" s="476" t="str">
        <f t="shared" si="0"/>
        <v>----</v>
      </c>
      <c r="G30" s="475"/>
      <c r="H30" s="476" t="str">
        <f t="shared" si="1"/>
        <v>----</v>
      </c>
      <c r="I30" s="481"/>
      <c r="J30" s="77" t="str">
        <f t="shared" si="2"/>
        <v>----</v>
      </c>
    </row>
    <row r="31" spans="1:10" ht="15.75" thickBot="1">
      <c r="A31" s="27"/>
      <c r="B31" s="27"/>
      <c r="C31" s="28"/>
      <c r="D31" s="28"/>
      <c r="E31" s="439"/>
      <c r="F31" s="441">
        <f>SUM(F4:F30)</f>
        <v>46785.26999999996</v>
      </c>
      <c r="G31" s="439"/>
      <c r="H31" s="441">
        <f>SUM(H4:H30)</f>
        <v>0</v>
      </c>
      <c r="I31" s="28"/>
      <c r="J31" s="69">
        <f>SUM(J4:J30)</f>
        <v>83618.249999999825</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7FF7B-E53C-406A-9F73-C3A2FB1D3C78}">
  <dimension ref="A1:J21"/>
  <sheetViews>
    <sheetView workbookViewId="0">
      <selection activeCell="M15" sqref="M15"/>
    </sheetView>
  </sheetViews>
  <sheetFormatPr defaultRowHeight="15"/>
  <cols>
    <col min="2" max="2" width="23.7109375" bestFit="1" customWidth="1"/>
    <col min="3" max="3" width="10.7109375" bestFit="1" customWidth="1"/>
    <col min="4" max="4" width="12.85546875" customWidth="1"/>
    <col min="5" max="5" width="10.7109375" style="432" bestFit="1" customWidth="1"/>
    <col min="6" max="6" width="13.85546875" style="432" customWidth="1"/>
    <col min="7" max="7" width="10.7109375" style="432" bestFit="1" customWidth="1"/>
    <col min="8" max="8" width="13.85546875" style="432" customWidth="1"/>
    <col min="9" max="9" width="10.7109375" bestFit="1" customWidth="1"/>
    <col min="10" max="10" width="13.85546875" customWidth="1"/>
  </cols>
  <sheetData>
    <row r="1" spans="1:10" ht="15.75" thickBot="1">
      <c r="A1" s="952" t="s">
        <v>221</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46.5" thickBot="1">
      <c r="A3" s="960"/>
      <c r="B3" s="962"/>
      <c r="C3" s="962"/>
      <c r="D3" s="974"/>
      <c r="E3" s="460" t="s">
        <v>121</v>
      </c>
      <c r="F3" s="468" t="s">
        <v>113</v>
      </c>
      <c r="G3" s="460" t="s">
        <v>121</v>
      </c>
      <c r="H3" s="468" t="s">
        <v>113</v>
      </c>
      <c r="I3" s="478" t="s">
        <v>121</v>
      </c>
      <c r="J3" s="25" t="s">
        <v>113</v>
      </c>
    </row>
    <row r="4" spans="1:10">
      <c r="A4" s="70">
        <v>43879</v>
      </c>
      <c r="B4" s="71" t="s">
        <v>222</v>
      </c>
      <c r="C4" s="72">
        <v>569573.19999999995</v>
      </c>
      <c r="D4" s="429">
        <v>326514.2</v>
      </c>
      <c r="E4" s="469">
        <v>303613.36</v>
      </c>
      <c r="F4" s="470">
        <f t="shared" ref="F4:F20" si="0">IF(ISBLANK(E4),"----",E4-D4)</f>
        <v>-22900.840000000026</v>
      </c>
      <c r="G4" s="469" t="s">
        <v>703</v>
      </c>
      <c r="H4" s="470" t="str">
        <f t="shared" ref="H4:H20" si="1">IF(OR(G4="Complete",ISBLANK(G4)),"----",G4-$D4)</f>
        <v>----</v>
      </c>
      <c r="I4" s="479" t="s">
        <v>703</v>
      </c>
      <c r="J4" s="73" t="str">
        <f t="shared" ref="J4:J20" si="2">IF(OR(I4="Complete",ISBLANK(I4)),"----",I4-$D4)</f>
        <v>----</v>
      </c>
    </row>
    <row r="5" spans="1:10">
      <c r="A5" s="88">
        <v>44306</v>
      </c>
      <c r="B5" s="101" t="s">
        <v>426</v>
      </c>
      <c r="C5" s="82">
        <v>124421.25</v>
      </c>
      <c r="D5" s="431">
        <f>C5</f>
        <v>124421.25</v>
      </c>
      <c r="E5" s="471"/>
      <c r="F5" s="472" t="str">
        <f t="shared" si="0"/>
        <v>----</v>
      </c>
      <c r="G5" s="471"/>
      <c r="H5" s="472" t="str">
        <f t="shared" si="1"/>
        <v>----</v>
      </c>
      <c r="I5" s="484"/>
      <c r="J5" s="83" t="str">
        <f t="shared" si="2"/>
        <v>----</v>
      </c>
    </row>
    <row r="6" spans="1:10">
      <c r="A6" s="102">
        <v>44580</v>
      </c>
      <c r="B6" s="103" t="s">
        <v>493</v>
      </c>
      <c r="C6" s="87">
        <v>295952.5</v>
      </c>
      <c r="D6" s="466">
        <f>C6</f>
        <v>295952.5</v>
      </c>
      <c r="E6" s="473"/>
      <c r="F6" s="485" t="str">
        <f t="shared" si="0"/>
        <v>----</v>
      </c>
      <c r="G6" s="473"/>
      <c r="H6" s="485" t="str">
        <f t="shared" si="1"/>
        <v>----</v>
      </c>
      <c r="I6" s="486"/>
      <c r="J6" s="115" t="str">
        <f t="shared" si="2"/>
        <v>----</v>
      </c>
    </row>
    <row r="7" spans="1:10">
      <c r="A7" s="102">
        <v>45153</v>
      </c>
      <c r="B7" s="103" t="s">
        <v>657</v>
      </c>
      <c r="C7" s="370">
        <v>368905.6</v>
      </c>
      <c r="D7" s="559">
        <f>C7</f>
        <v>368905.6</v>
      </c>
      <c r="E7" s="473"/>
      <c r="F7" s="485" t="str">
        <f t="shared" si="0"/>
        <v>----</v>
      </c>
      <c r="G7" s="473"/>
      <c r="H7" s="485" t="str">
        <f t="shared" si="1"/>
        <v>----</v>
      </c>
      <c r="I7" s="486"/>
      <c r="J7" s="115" t="str">
        <f t="shared" si="2"/>
        <v>----</v>
      </c>
    </row>
    <row r="8" spans="1:10">
      <c r="A8" s="102">
        <v>45153</v>
      </c>
      <c r="B8" s="103" t="s">
        <v>658</v>
      </c>
      <c r="C8" s="370">
        <v>623072.6</v>
      </c>
      <c r="D8" s="559">
        <f>C8</f>
        <v>623072.6</v>
      </c>
      <c r="E8" s="473"/>
      <c r="F8" s="485" t="str">
        <f t="shared" si="0"/>
        <v>----</v>
      </c>
      <c r="G8" s="473"/>
      <c r="H8" s="485" t="str">
        <f t="shared" si="1"/>
        <v>----</v>
      </c>
      <c r="I8" s="486"/>
      <c r="J8" s="115" t="str">
        <f t="shared" si="2"/>
        <v>----</v>
      </c>
    </row>
    <row r="9" spans="1:10">
      <c r="A9" s="102"/>
      <c r="B9" s="103"/>
      <c r="C9" s="87"/>
      <c r="D9" s="466"/>
      <c r="E9" s="473"/>
      <c r="F9" s="485" t="str">
        <f t="shared" si="0"/>
        <v>----</v>
      </c>
      <c r="G9" s="473"/>
      <c r="H9" s="485" t="str">
        <f t="shared" si="1"/>
        <v>----</v>
      </c>
      <c r="I9" s="486"/>
      <c r="J9" s="115" t="str">
        <f t="shared" si="2"/>
        <v>----</v>
      </c>
    </row>
    <row r="10" spans="1:10">
      <c r="A10" s="102"/>
      <c r="B10" s="103"/>
      <c r="C10" s="87"/>
      <c r="D10" s="466"/>
      <c r="E10" s="473"/>
      <c r="F10" s="485" t="str">
        <f t="shared" si="0"/>
        <v>----</v>
      </c>
      <c r="G10" s="473"/>
      <c r="H10" s="485" t="str">
        <f t="shared" si="1"/>
        <v>----</v>
      </c>
      <c r="I10" s="486"/>
      <c r="J10" s="115" t="str">
        <f t="shared" si="2"/>
        <v>----</v>
      </c>
    </row>
    <row r="11" spans="1:10">
      <c r="A11" s="102"/>
      <c r="B11" s="103"/>
      <c r="C11" s="87"/>
      <c r="D11" s="466"/>
      <c r="E11" s="473"/>
      <c r="F11" s="485" t="str">
        <f t="shared" si="0"/>
        <v>----</v>
      </c>
      <c r="G11" s="473"/>
      <c r="H11" s="485" t="str">
        <f t="shared" si="1"/>
        <v>----</v>
      </c>
      <c r="I11" s="486"/>
      <c r="J11" s="115" t="str">
        <f t="shared" si="2"/>
        <v>----</v>
      </c>
    </row>
    <row r="12" spans="1:10">
      <c r="A12" s="102"/>
      <c r="B12" s="103"/>
      <c r="C12" s="87"/>
      <c r="D12" s="466"/>
      <c r="E12" s="473"/>
      <c r="F12" s="485" t="str">
        <f t="shared" si="0"/>
        <v>----</v>
      </c>
      <c r="G12" s="473"/>
      <c r="H12" s="485" t="str">
        <f t="shared" si="1"/>
        <v>----</v>
      </c>
      <c r="I12" s="486"/>
      <c r="J12" s="115" t="str">
        <f t="shared" si="2"/>
        <v>----</v>
      </c>
    </row>
    <row r="13" spans="1:10">
      <c r="A13" s="102"/>
      <c r="B13" s="103"/>
      <c r="C13" s="87"/>
      <c r="D13" s="466"/>
      <c r="E13" s="473"/>
      <c r="F13" s="485" t="str">
        <f t="shared" si="0"/>
        <v>----</v>
      </c>
      <c r="G13" s="473"/>
      <c r="H13" s="485" t="str">
        <f t="shared" si="1"/>
        <v>----</v>
      </c>
      <c r="I13" s="486"/>
      <c r="J13" s="115" t="str">
        <f t="shared" si="2"/>
        <v>----</v>
      </c>
    </row>
    <row r="14" spans="1:10">
      <c r="A14" s="102"/>
      <c r="B14" s="103"/>
      <c r="C14" s="87"/>
      <c r="D14" s="466"/>
      <c r="E14" s="473"/>
      <c r="F14" s="485" t="str">
        <f t="shared" si="0"/>
        <v>----</v>
      </c>
      <c r="G14" s="473"/>
      <c r="H14" s="485" t="str">
        <f t="shared" si="1"/>
        <v>----</v>
      </c>
      <c r="I14" s="486"/>
      <c r="J14" s="115" t="str">
        <f t="shared" si="2"/>
        <v>----</v>
      </c>
    </row>
    <row r="15" spans="1:10">
      <c r="A15" s="102"/>
      <c r="B15" s="103"/>
      <c r="C15" s="87"/>
      <c r="D15" s="466"/>
      <c r="E15" s="473"/>
      <c r="F15" s="485" t="str">
        <f t="shared" si="0"/>
        <v>----</v>
      </c>
      <c r="G15" s="473"/>
      <c r="H15" s="485" t="str">
        <f t="shared" si="1"/>
        <v>----</v>
      </c>
      <c r="I15" s="486"/>
      <c r="J15" s="115" t="str">
        <f t="shared" si="2"/>
        <v>----</v>
      </c>
    </row>
    <row r="16" spans="1:10">
      <c r="A16" s="102"/>
      <c r="B16" s="103"/>
      <c r="C16" s="87"/>
      <c r="D16" s="466"/>
      <c r="E16" s="473"/>
      <c r="F16" s="485" t="str">
        <f t="shared" si="0"/>
        <v>----</v>
      </c>
      <c r="G16" s="473"/>
      <c r="H16" s="485" t="str">
        <f t="shared" si="1"/>
        <v>----</v>
      </c>
      <c r="I16" s="486"/>
      <c r="J16" s="115" t="str">
        <f t="shared" si="2"/>
        <v>----</v>
      </c>
    </row>
    <row r="17" spans="1:10">
      <c r="A17" s="102"/>
      <c r="B17" s="103"/>
      <c r="C17" s="87"/>
      <c r="D17" s="466"/>
      <c r="E17" s="473"/>
      <c r="F17" s="485" t="str">
        <f t="shared" si="0"/>
        <v>----</v>
      </c>
      <c r="G17" s="473"/>
      <c r="H17" s="485" t="str">
        <f t="shared" si="1"/>
        <v>----</v>
      </c>
      <c r="I17" s="486"/>
      <c r="J17" s="115" t="str">
        <f t="shared" si="2"/>
        <v>----</v>
      </c>
    </row>
    <row r="18" spans="1:10">
      <c r="A18" s="102"/>
      <c r="B18" s="103"/>
      <c r="C18" s="87"/>
      <c r="D18" s="466"/>
      <c r="E18" s="473"/>
      <c r="F18" s="485" t="str">
        <f t="shared" si="0"/>
        <v>----</v>
      </c>
      <c r="G18" s="473"/>
      <c r="H18" s="485" t="str">
        <f t="shared" si="1"/>
        <v>----</v>
      </c>
      <c r="I18" s="486"/>
      <c r="J18" s="115" t="str">
        <f t="shared" si="2"/>
        <v>----</v>
      </c>
    </row>
    <row r="19" spans="1:10">
      <c r="A19" s="116"/>
      <c r="B19" s="117"/>
      <c r="C19" s="118"/>
      <c r="D19" s="467"/>
      <c r="E19" s="474"/>
      <c r="F19" s="487" t="str">
        <f t="shared" si="0"/>
        <v>----</v>
      </c>
      <c r="G19" s="474"/>
      <c r="H19" s="487" t="str">
        <f t="shared" si="1"/>
        <v>----</v>
      </c>
      <c r="I19" s="488"/>
      <c r="J19" s="119" t="str">
        <f t="shared" si="2"/>
        <v>----</v>
      </c>
    </row>
    <row r="20" spans="1:10" ht="15.75" thickBot="1">
      <c r="A20" s="74"/>
      <c r="B20" s="75"/>
      <c r="C20" s="76"/>
      <c r="D20" s="430"/>
      <c r="E20" s="475"/>
      <c r="F20" s="476" t="str">
        <f t="shared" si="0"/>
        <v>----</v>
      </c>
      <c r="G20" s="475"/>
      <c r="H20" s="476" t="str">
        <f t="shared" si="1"/>
        <v>----</v>
      </c>
      <c r="I20" s="481"/>
      <c r="J20" s="77" t="str">
        <f t="shared" si="2"/>
        <v>----</v>
      </c>
    </row>
    <row r="21" spans="1:10" ht="15.75" thickBot="1">
      <c r="A21" s="27"/>
      <c r="B21" s="27"/>
      <c r="C21" s="28"/>
      <c r="D21" s="28"/>
      <c r="E21" s="439"/>
      <c r="F21" s="441">
        <f>SUM(F4:F20)</f>
        <v>-22900.840000000026</v>
      </c>
      <c r="G21" s="439"/>
      <c r="H21" s="441">
        <f>SUM(H4:H20)</f>
        <v>0</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5707-7A2D-4DD2-B926-2D3B5202162C}">
  <dimension ref="A1:J25"/>
  <sheetViews>
    <sheetView workbookViewId="0">
      <selection activeCell="I6" sqref="I6"/>
    </sheetView>
  </sheetViews>
  <sheetFormatPr defaultRowHeight="15"/>
  <cols>
    <col min="2" max="2" width="23.7109375" bestFit="1" customWidth="1"/>
    <col min="3" max="3" width="10.7109375" bestFit="1" customWidth="1"/>
    <col min="4" max="4" width="12.5703125" customWidth="1"/>
    <col min="5" max="5" width="10.7109375" style="432" bestFit="1" customWidth="1"/>
    <col min="6" max="6" width="11.42578125" style="432" customWidth="1"/>
    <col min="7" max="7" width="10.7109375" style="432" bestFit="1" customWidth="1"/>
    <col min="8" max="8" width="11.42578125" style="432" customWidth="1"/>
    <col min="9" max="9" width="10.7109375" bestFit="1" customWidth="1"/>
    <col min="10" max="10" width="11.42578125" customWidth="1"/>
  </cols>
  <sheetData>
    <row r="1" spans="1:10" ht="15.75" thickBot="1">
      <c r="A1" s="952" t="s">
        <v>126</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57.75" thickBot="1">
      <c r="A3" s="960"/>
      <c r="B3" s="962"/>
      <c r="C3" s="962"/>
      <c r="D3" s="974"/>
      <c r="E3" s="460" t="s">
        <v>121</v>
      </c>
      <c r="F3" s="468" t="s">
        <v>113</v>
      </c>
      <c r="G3" s="460" t="s">
        <v>121</v>
      </c>
      <c r="H3" s="468" t="s">
        <v>113</v>
      </c>
      <c r="I3" s="478" t="s">
        <v>121</v>
      </c>
      <c r="J3" s="25" t="s">
        <v>113</v>
      </c>
    </row>
    <row r="4" spans="1:10">
      <c r="A4" s="70">
        <v>43970</v>
      </c>
      <c r="B4" s="71" t="s">
        <v>116</v>
      </c>
      <c r="C4" s="72">
        <v>491300.55</v>
      </c>
      <c r="D4" s="429">
        <f>C4</f>
        <v>491300.55</v>
      </c>
      <c r="E4" s="469">
        <v>494435.83</v>
      </c>
      <c r="F4" s="470">
        <f t="shared" ref="F4:F18" si="0">IF(ISBLANK(E4),"----",E4-D4)</f>
        <v>3135.2800000000279</v>
      </c>
      <c r="G4" s="469" t="s">
        <v>703</v>
      </c>
      <c r="H4" s="470" t="str">
        <f t="shared" ref="H4:H18" si="1">IF(OR(G4="Complete",ISBLANK(G4)),"----",G4-$D4)</f>
        <v>----</v>
      </c>
      <c r="I4" s="479" t="s">
        <v>703</v>
      </c>
      <c r="J4" s="73" t="str">
        <f t="shared" ref="J4:J18" si="2">IF(OR(I4="Complete",ISBLANK(I4)),"----",I4-$D4)</f>
        <v>----</v>
      </c>
    </row>
    <row r="5" spans="1:10">
      <c r="A5" s="88">
        <v>44698</v>
      </c>
      <c r="B5" s="101" t="s">
        <v>519</v>
      </c>
      <c r="C5" s="118">
        <v>724856.94</v>
      </c>
      <c r="D5" s="431">
        <f>C5</f>
        <v>724856.94</v>
      </c>
      <c r="E5" s="471"/>
      <c r="F5" s="472" t="str">
        <f t="shared" si="0"/>
        <v>----</v>
      </c>
      <c r="G5" s="471">
        <v>732290.18</v>
      </c>
      <c r="H5" s="472">
        <f t="shared" si="1"/>
        <v>7433.2400000001071</v>
      </c>
      <c r="I5" s="484" t="s">
        <v>703</v>
      </c>
      <c r="J5" s="83" t="str">
        <f t="shared" si="2"/>
        <v>----</v>
      </c>
    </row>
    <row r="6" spans="1:10">
      <c r="A6" s="102">
        <v>45615</v>
      </c>
      <c r="B6" s="450" t="s">
        <v>781</v>
      </c>
      <c r="C6" s="370">
        <v>693184</v>
      </c>
      <c r="D6" s="559">
        <v>691184</v>
      </c>
      <c r="E6" s="473"/>
      <c r="F6" s="485" t="str">
        <f t="shared" si="0"/>
        <v>----</v>
      </c>
      <c r="G6" s="473"/>
      <c r="H6" s="485" t="str">
        <f t="shared" si="1"/>
        <v>----</v>
      </c>
      <c r="I6" s="486"/>
      <c r="J6" s="115" t="str">
        <f t="shared" si="2"/>
        <v>----</v>
      </c>
    </row>
    <row r="7" spans="1:10">
      <c r="A7" s="102"/>
      <c r="B7" s="103"/>
      <c r="C7" s="370"/>
      <c r="D7" s="559"/>
      <c r="E7" s="473"/>
      <c r="F7" s="485" t="str">
        <f t="shared" si="0"/>
        <v>----</v>
      </c>
      <c r="G7" s="473"/>
      <c r="H7" s="485" t="str">
        <f t="shared" si="1"/>
        <v>----</v>
      </c>
      <c r="I7" s="486"/>
      <c r="J7" s="115" t="str">
        <f t="shared" si="2"/>
        <v>----</v>
      </c>
    </row>
    <row r="8" spans="1:10">
      <c r="A8" s="102"/>
      <c r="B8" s="103"/>
      <c r="C8" s="370"/>
      <c r="D8" s="559"/>
      <c r="E8" s="473"/>
      <c r="F8" s="485" t="str">
        <f t="shared" si="0"/>
        <v>----</v>
      </c>
      <c r="G8" s="473"/>
      <c r="H8" s="485" t="str">
        <f t="shared" si="1"/>
        <v>----</v>
      </c>
      <c r="I8" s="486"/>
      <c r="J8" s="115" t="str">
        <f t="shared" si="2"/>
        <v>----</v>
      </c>
    </row>
    <row r="9" spans="1:10">
      <c r="A9" s="102"/>
      <c r="B9" s="103"/>
      <c r="C9" s="370"/>
      <c r="D9" s="559"/>
      <c r="E9" s="473"/>
      <c r="F9" s="485" t="str">
        <f t="shared" si="0"/>
        <v>----</v>
      </c>
      <c r="G9" s="473"/>
      <c r="H9" s="485" t="str">
        <f t="shared" si="1"/>
        <v>----</v>
      </c>
      <c r="I9" s="486"/>
      <c r="J9" s="115" t="str">
        <f t="shared" si="2"/>
        <v>----</v>
      </c>
    </row>
    <row r="10" spans="1:10">
      <c r="A10" s="102"/>
      <c r="B10" s="103"/>
      <c r="C10" s="370"/>
      <c r="D10" s="559"/>
      <c r="E10" s="473"/>
      <c r="F10" s="485" t="str">
        <f t="shared" si="0"/>
        <v>----</v>
      </c>
      <c r="G10" s="473"/>
      <c r="H10" s="485" t="str">
        <f t="shared" si="1"/>
        <v>----</v>
      </c>
      <c r="I10" s="486"/>
      <c r="J10" s="115" t="str">
        <f t="shared" si="2"/>
        <v>----</v>
      </c>
    </row>
    <row r="11" spans="1:10">
      <c r="A11" s="102"/>
      <c r="B11" s="103"/>
      <c r="C11" s="370"/>
      <c r="D11" s="559"/>
      <c r="E11" s="473"/>
      <c r="F11" s="485" t="str">
        <f t="shared" si="0"/>
        <v>----</v>
      </c>
      <c r="G11" s="473"/>
      <c r="H11" s="485" t="str">
        <f t="shared" si="1"/>
        <v>----</v>
      </c>
      <c r="I11" s="486"/>
      <c r="J11" s="115" t="str">
        <f t="shared" si="2"/>
        <v>----</v>
      </c>
    </row>
    <row r="12" spans="1:10">
      <c r="A12" s="102"/>
      <c r="B12" s="103"/>
      <c r="C12" s="370"/>
      <c r="D12" s="559"/>
      <c r="E12" s="473"/>
      <c r="F12" s="485" t="str">
        <f t="shared" si="0"/>
        <v>----</v>
      </c>
      <c r="G12" s="473"/>
      <c r="H12" s="485" t="str">
        <f t="shared" si="1"/>
        <v>----</v>
      </c>
      <c r="I12" s="486"/>
      <c r="J12" s="115" t="str">
        <f t="shared" si="2"/>
        <v>----</v>
      </c>
    </row>
    <row r="13" spans="1:10">
      <c r="A13" s="102"/>
      <c r="B13" s="103"/>
      <c r="C13" s="370"/>
      <c r="D13" s="559"/>
      <c r="E13" s="473"/>
      <c r="F13" s="485" t="str">
        <f t="shared" si="0"/>
        <v>----</v>
      </c>
      <c r="G13" s="473"/>
      <c r="H13" s="485" t="str">
        <f t="shared" si="1"/>
        <v>----</v>
      </c>
      <c r="I13" s="486"/>
      <c r="J13" s="115" t="str">
        <f t="shared" si="2"/>
        <v>----</v>
      </c>
    </row>
    <row r="14" spans="1:10">
      <c r="A14" s="102"/>
      <c r="B14" s="103"/>
      <c r="C14" s="370"/>
      <c r="D14" s="559"/>
      <c r="E14" s="473"/>
      <c r="F14" s="485" t="str">
        <f t="shared" si="0"/>
        <v>----</v>
      </c>
      <c r="G14" s="473"/>
      <c r="H14" s="485" t="str">
        <f t="shared" si="1"/>
        <v>----</v>
      </c>
      <c r="I14" s="486"/>
      <c r="J14" s="115" t="str">
        <f t="shared" si="2"/>
        <v>----</v>
      </c>
    </row>
    <row r="15" spans="1:10">
      <c r="A15" s="102"/>
      <c r="B15" s="103"/>
      <c r="C15" s="370"/>
      <c r="D15" s="559"/>
      <c r="E15" s="473"/>
      <c r="F15" s="485" t="str">
        <f t="shared" si="0"/>
        <v>----</v>
      </c>
      <c r="G15" s="473"/>
      <c r="H15" s="485" t="str">
        <f t="shared" si="1"/>
        <v>----</v>
      </c>
      <c r="I15" s="486"/>
      <c r="J15" s="115" t="str">
        <f t="shared" si="2"/>
        <v>----</v>
      </c>
    </row>
    <row r="16" spans="1:10">
      <c r="A16" s="102"/>
      <c r="B16" s="103"/>
      <c r="C16" s="370"/>
      <c r="D16" s="559"/>
      <c r="E16" s="473"/>
      <c r="F16" s="485" t="str">
        <f t="shared" si="0"/>
        <v>----</v>
      </c>
      <c r="G16" s="473"/>
      <c r="H16" s="485" t="str">
        <f t="shared" si="1"/>
        <v>----</v>
      </c>
      <c r="I16" s="486"/>
      <c r="J16" s="115" t="str">
        <f t="shared" si="2"/>
        <v>----</v>
      </c>
    </row>
    <row r="17" spans="1:10">
      <c r="A17" s="116"/>
      <c r="B17" s="117"/>
      <c r="C17" s="602"/>
      <c r="D17" s="603"/>
      <c r="E17" s="474"/>
      <c r="F17" s="487" t="str">
        <f t="shared" si="0"/>
        <v>----</v>
      </c>
      <c r="G17" s="474"/>
      <c r="H17" s="487" t="str">
        <f t="shared" si="1"/>
        <v>----</v>
      </c>
      <c r="I17" s="488"/>
      <c r="J17" s="119" t="str">
        <f t="shared" si="2"/>
        <v>----</v>
      </c>
    </row>
    <row r="18" spans="1:10" ht="15.75" thickBot="1">
      <c r="A18" s="74"/>
      <c r="B18" s="75"/>
      <c r="C18" s="373"/>
      <c r="D18" s="527"/>
      <c r="E18" s="475"/>
      <c r="F18" s="476" t="str">
        <f t="shared" si="0"/>
        <v>----</v>
      </c>
      <c r="G18" s="475"/>
      <c r="H18" s="476" t="str">
        <f t="shared" si="1"/>
        <v>----</v>
      </c>
      <c r="I18" s="481"/>
      <c r="J18" s="77" t="str">
        <f t="shared" si="2"/>
        <v>----</v>
      </c>
    </row>
    <row r="19" spans="1:10" ht="15.75" thickBot="1">
      <c r="A19" s="27"/>
      <c r="B19" s="27"/>
      <c r="C19" s="28"/>
      <c r="D19" s="28"/>
      <c r="E19" s="439"/>
      <c r="F19" s="441">
        <f>SUM(F4:F18)</f>
        <v>3135.2800000000279</v>
      </c>
      <c r="G19" s="439"/>
      <c r="H19" s="441">
        <f>SUM(H4:H18)</f>
        <v>7433.2400000001071</v>
      </c>
      <c r="I19" s="28"/>
      <c r="J19" s="69">
        <f>SUM(J4:J18)</f>
        <v>0</v>
      </c>
    </row>
    <row r="25" spans="1:10">
      <c r="A25" s="26"/>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E0872-BF8A-49A1-9059-6FA62092E412}">
  <dimension ref="A1:K25"/>
  <sheetViews>
    <sheetView workbookViewId="0">
      <selection activeCell="K9" sqref="K9"/>
    </sheetView>
  </sheetViews>
  <sheetFormatPr defaultRowHeight="15"/>
  <cols>
    <col min="2" max="2" width="22" bestFit="1" customWidth="1"/>
    <col min="3" max="3" width="12.5703125" bestFit="1" customWidth="1"/>
    <col min="4" max="4" width="10.7109375" bestFit="1" customWidth="1"/>
    <col min="5" max="8" width="9.140625" style="432"/>
  </cols>
  <sheetData>
    <row r="1" spans="1:11" ht="15.75" thickBot="1">
      <c r="A1" s="952" t="s">
        <v>280</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69" thickBot="1">
      <c r="A3" s="960"/>
      <c r="B3" s="962"/>
      <c r="C3" s="962"/>
      <c r="D3" s="974"/>
      <c r="E3" s="460" t="s">
        <v>121</v>
      </c>
      <c r="F3" s="468" t="s">
        <v>113</v>
      </c>
      <c r="G3" s="460" t="s">
        <v>121</v>
      </c>
      <c r="H3" s="468" t="s">
        <v>113</v>
      </c>
      <c r="I3" s="478" t="s">
        <v>121</v>
      </c>
      <c r="J3" s="25" t="s">
        <v>113</v>
      </c>
    </row>
    <row r="4" spans="1:11">
      <c r="A4" s="70">
        <v>44580</v>
      </c>
      <c r="B4" s="71" t="s">
        <v>494</v>
      </c>
      <c r="C4" s="781">
        <v>700131.29</v>
      </c>
      <c r="D4" s="787">
        <f>C4</f>
        <v>700131.29</v>
      </c>
      <c r="E4" s="794"/>
      <c r="F4" s="803" t="str">
        <f t="shared" ref="F4:F24" si="0">IF(ISBLANK(E4),"----",E4-D4)</f>
        <v>----</v>
      </c>
      <c r="G4" s="794"/>
      <c r="H4" s="803" t="str">
        <f t="shared" ref="H4:H24" si="1">IF(OR(G4="Complete",ISBLANK(G4)),"----",G4-$D4)</f>
        <v>----</v>
      </c>
      <c r="I4" s="791"/>
      <c r="J4" s="804" t="str">
        <f t="shared" ref="J4:J24" si="2">IF(OR(I4="Complete",ISBLANK(I4)),"----",I4-$D4)</f>
        <v>----</v>
      </c>
    </row>
    <row r="5" spans="1:11">
      <c r="A5" s="410">
        <v>45251</v>
      </c>
      <c r="B5" s="411" t="s">
        <v>683</v>
      </c>
      <c r="C5" s="782">
        <f>816588.74/2</f>
        <v>408294.37</v>
      </c>
      <c r="D5" s="797">
        <f>(C5*2-41530)/2</f>
        <v>387529.37</v>
      </c>
      <c r="E5" s="799"/>
      <c r="F5" s="662" t="str">
        <f t="shared" si="0"/>
        <v>----</v>
      </c>
      <c r="G5" s="799"/>
      <c r="H5" s="662" t="str">
        <f t="shared" si="1"/>
        <v>----</v>
      </c>
      <c r="I5" s="798"/>
      <c r="J5" s="663" t="str">
        <f t="shared" si="2"/>
        <v>----</v>
      </c>
      <c r="K5" s="412" t="s">
        <v>684</v>
      </c>
    </row>
    <row r="6" spans="1:11">
      <c r="A6" s="88">
        <v>45461</v>
      </c>
      <c r="B6" s="448" t="s">
        <v>756</v>
      </c>
      <c r="C6" s="784">
        <v>330823.25</v>
      </c>
      <c r="D6" s="788">
        <f>C6</f>
        <v>330823.25</v>
      </c>
      <c r="E6" s="795"/>
      <c r="F6" s="807" t="str">
        <f t="shared" si="0"/>
        <v>----</v>
      </c>
      <c r="G6" s="795"/>
      <c r="H6" s="807" t="str">
        <f t="shared" si="1"/>
        <v>----</v>
      </c>
      <c r="I6" s="792"/>
      <c r="J6" s="808" t="str">
        <f t="shared" si="2"/>
        <v>----</v>
      </c>
    </row>
    <row r="7" spans="1:11">
      <c r="A7" s="91">
        <v>45461</v>
      </c>
      <c r="B7" s="411" t="s">
        <v>757</v>
      </c>
      <c r="C7" s="782">
        <v>266587.44</v>
      </c>
      <c r="D7" s="797">
        <f>C7</f>
        <v>266587.44</v>
      </c>
      <c r="E7" s="799"/>
      <c r="F7" s="662" t="str">
        <f t="shared" si="0"/>
        <v>----</v>
      </c>
      <c r="G7" s="799"/>
      <c r="H7" s="662" t="str">
        <f t="shared" si="1"/>
        <v>----</v>
      </c>
      <c r="I7" s="798"/>
      <c r="J7" s="663" t="str">
        <f t="shared" si="2"/>
        <v>----</v>
      </c>
    </row>
    <row r="8" spans="1:11">
      <c r="A8" s="88">
        <v>45825</v>
      </c>
      <c r="B8" s="697" t="s">
        <v>881</v>
      </c>
      <c r="C8" s="784">
        <v>1243094.25</v>
      </c>
      <c r="D8" s="788">
        <v>0</v>
      </c>
      <c r="E8" s="795"/>
      <c r="F8" s="807" t="str">
        <f t="shared" si="0"/>
        <v>----</v>
      </c>
      <c r="G8" s="795"/>
      <c r="H8" s="807" t="str">
        <f t="shared" si="1"/>
        <v>----</v>
      </c>
      <c r="I8" s="792"/>
      <c r="J8" s="808" t="str">
        <f t="shared" si="2"/>
        <v>----</v>
      </c>
      <c r="K8" t="s">
        <v>882</v>
      </c>
    </row>
    <row r="9" spans="1:11">
      <c r="A9" s="91"/>
      <c r="B9" s="92"/>
      <c r="C9" s="782"/>
      <c r="D9" s="797"/>
      <c r="E9" s="799"/>
      <c r="F9" s="662" t="str">
        <f t="shared" si="0"/>
        <v>----</v>
      </c>
      <c r="G9" s="799"/>
      <c r="H9" s="662" t="str">
        <f t="shared" si="1"/>
        <v>----</v>
      </c>
      <c r="I9" s="798"/>
      <c r="J9" s="663" t="str">
        <f t="shared" si="2"/>
        <v>----</v>
      </c>
    </row>
    <row r="10" spans="1:11">
      <c r="A10" s="88"/>
      <c r="B10" s="101"/>
      <c r="C10" s="784"/>
      <c r="D10" s="788"/>
      <c r="E10" s="795"/>
      <c r="F10" s="807" t="str">
        <f t="shared" si="0"/>
        <v>----</v>
      </c>
      <c r="G10" s="795"/>
      <c r="H10" s="807" t="str">
        <f t="shared" si="1"/>
        <v>----</v>
      </c>
      <c r="I10" s="792"/>
      <c r="J10" s="808" t="str">
        <f t="shared" si="2"/>
        <v>----</v>
      </c>
    </row>
    <row r="11" spans="1:11">
      <c r="A11" s="91"/>
      <c r="B11" s="92"/>
      <c r="C11" s="782"/>
      <c r="D11" s="797"/>
      <c r="E11" s="799"/>
      <c r="F11" s="662" t="str">
        <f t="shared" si="0"/>
        <v>----</v>
      </c>
      <c r="G11" s="799"/>
      <c r="H11" s="662" t="str">
        <f t="shared" si="1"/>
        <v>----</v>
      </c>
      <c r="I11" s="798"/>
      <c r="J11" s="663" t="str">
        <f t="shared" si="2"/>
        <v>----</v>
      </c>
    </row>
    <row r="12" spans="1:11">
      <c r="A12" s="88"/>
      <c r="B12" s="101"/>
      <c r="C12" s="784"/>
      <c r="D12" s="788"/>
      <c r="E12" s="795"/>
      <c r="F12" s="807" t="str">
        <f t="shared" si="0"/>
        <v>----</v>
      </c>
      <c r="G12" s="795"/>
      <c r="H12" s="807" t="str">
        <f t="shared" si="1"/>
        <v>----</v>
      </c>
      <c r="I12" s="792"/>
      <c r="J12" s="808" t="str">
        <f t="shared" si="2"/>
        <v>----</v>
      </c>
    </row>
    <row r="13" spans="1:11">
      <c r="A13" s="91"/>
      <c r="B13" s="92"/>
      <c r="C13" s="782"/>
      <c r="D13" s="797"/>
      <c r="E13" s="799"/>
      <c r="F13" s="662" t="str">
        <f t="shared" si="0"/>
        <v>----</v>
      </c>
      <c r="G13" s="799"/>
      <c r="H13" s="662" t="str">
        <f t="shared" si="1"/>
        <v>----</v>
      </c>
      <c r="I13" s="798"/>
      <c r="J13" s="663" t="str">
        <f t="shared" si="2"/>
        <v>----</v>
      </c>
    </row>
    <row r="14" spans="1:11">
      <c r="A14" s="88"/>
      <c r="B14" s="101"/>
      <c r="C14" s="784"/>
      <c r="D14" s="788"/>
      <c r="E14" s="795"/>
      <c r="F14" s="807" t="str">
        <f t="shared" si="0"/>
        <v>----</v>
      </c>
      <c r="G14" s="795"/>
      <c r="H14" s="807" t="str">
        <f t="shared" si="1"/>
        <v>----</v>
      </c>
      <c r="I14" s="792"/>
      <c r="J14" s="808" t="str">
        <f t="shared" si="2"/>
        <v>----</v>
      </c>
    </row>
    <row r="15" spans="1:11">
      <c r="A15" s="91"/>
      <c r="B15" s="92"/>
      <c r="C15" s="782"/>
      <c r="D15" s="797"/>
      <c r="E15" s="799"/>
      <c r="F15" s="662" t="str">
        <f t="shared" si="0"/>
        <v>----</v>
      </c>
      <c r="G15" s="799"/>
      <c r="H15" s="662" t="str">
        <f t="shared" si="1"/>
        <v>----</v>
      </c>
      <c r="I15" s="798"/>
      <c r="J15" s="663" t="str">
        <f t="shared" si="2"/>
        <v>----</v>
      </c>
    </row>
    <row r="16" spans="1:11">
      <c r="A16" s="88"/>
      <c r="B16" s="101"/>
      <c r="C16" s="784"/>
      <c r="D16" s="788"/>
      <c r="E16" s="795"/>
      <c r="F16" s="807" t="str">
        <f t="shared" si="0"/>
        <v>----</v>
      </c>
      <c r="G16" s="795"/>
      <c r="H16" s="807" t="str">
        <f t="shared" si="1"/>
        <v>----</v>
      </c>
      <c r="I16" s="792"/>
      <c r="J16" s="808" t="str">
        <f t="shared" si="2"/>
        <v>----</v>
      </c>
    </row>
    <row r="17" spans="1:10">
      <c r="A17" s="91"/>
      <c r="B17" s="92"/>
      <c r="C17" s="782"/>
      <c r="D17" s="797"/>
      <c r="E17" s="799"/>
      <c r="F17" s="662" t="str">
        <f t="shared" si="0"/>
        <v>----</v>
      </c>
      <c r="G17" s="799"/>
      <c r="H17" s="662" t="str">
        <f t="shared" si="1"/>
        <v>----</v>
      </c>
      <c r="I17" s="798"/>
      <c r="J17" s="663" t="str">
        <f t="shared" si="2"/>
        <v>----</v>
      </c>
    </row>
    <row r="18" spans="1:10">
      <c r="A18" s="88"/>
      <c r="B18" s="101"/>
      <c r="C18" s="784"/>
      <c r="D18" s="788"/>
      <c r="E18" s="795"/>
      <c r="F18" s="807" t="str">
        <f t="shared" si="0"/>
        <v>----</v>
      </c>
      <c r="G18" s="795"/>
      <c r="H18" s="807" t="str">
        <f t="shared" si="1"/>
        <v>----</v>
      </c>
      <c r="I18" s="792"/>
      <c r="J18" s="808" t="str">
        <f t="shared" si="2"/>
        <v>----</v>
      </c>
    </row>
    <row r="19" spans="1:10">
      <c r="A19" s="91"/>
      <c r="B19" s="92"/>
      <c r="C19" s="782"/>
      <c r="D19" s="797"/>
      <c r="E19" s="799"/>
      <c r="F19" s="662" t="str">
        <f t="shared" si="0"/>
        <v>----</v>
      </c>
      <c r="G19" s="799"/>
      <c r="H19" s="662" t="str">
        <f t="shared" si="1"/>
        <v>----</v>
      </c>
      <c r="I19" s="798"/>
      <c r="J19" s="663" t="str">
        <f t="shared" si="2"/>
        <v>----</v>
      </c>
    </row>
    <row r="20" spans="1:10">
      <c r="A20" s="88"/>
      <c r="B20" s="101"/>
      <c r="C20" s="784"/>
      <c r="D20" s="788"/>
      <c r="E20" s="795"/>
      <c r="F20" s="807" t="str">
        <f t="shared" si="0"/>
        <v>----</v>
      </c>
      <c r="G20" s="795"/>
      <c r="H20" s="807" t="str">
        <f t="shared" si="1"/>
        <v>----</v>
      </c>
      <c r="I20" s="792"/>
      <c r="J20" s="808" t="str">
        <f t="shared" si="2"/>
        <v>----</v>
      </c>
    </row>
    <row r="21" spans="1:10">
      <c r="A21" s="91"/>
      <c r="B21" s="92"/>
      <c r="C21" s="782"/>
      <c r="D21" s="797"/>
      <c r="E21" s="799"/>
      <c r="F21" s="662" t="str">
        <f t="shared" si="0"/>
        <v>----</v>
      </c>
      <c r="G21" s="799"/>
      <c r="H21" s="662" t="str">
        <f t="shared" si="1"/>
        <v>----</v>
      </c>
      <c r="I21" s="798"/>
      <c r="J21" s="663" t="str">
        <f t="shared" si="2"/>
        <v>----</v>
      </c>
    </row>
    <row r="22" spans="1:10">
      <c r="A22" s="88"/>
      <c r="B22" s="101"/>
      <c r="C22" s="784"/>
      <c r="D22" s="788"/>
      <c r="E22" s="795"/>
      <c r="F22" s="807" t="str">
        <f t="shared" si="0"/>
        <v>----</v>
      </c>
      <c r="G22" s="795"/>
      <c r="H22" s="807" t="str">
        <f t="shared" si="1"/>
        <v>----</v>
      </c>
      <c r="I22" s="792"/>
      <c r="J22" s="808" t="str">
        <f t="shared" si="2"/>
        <v>----</v>
      </c>
    </row>
    <row r="23" spans="1:10">
      <c r="A23" s="91"/>
      <c r="B23" s="92"/>
      <c r="C23" s="782"/>
      <c r="D23" s="797"/>
      <c r="E23" s="799"/>
      <c r="F23" s="662" t="str">
        <f t="shared" si="0"/>
        <v>----</v>
      </c>
      <c r="G23" s="799"/>
      <c r="H23" s="662" t="str">
        <f t="shared" si="1"/>
        <v>----</v>
      </c>
      <c r="I23" s="798"/>
      <c r="J23" s="663" t="str">
        <f t="shared" si="2"/>
        <v>----</v>
      </c>
    </row>
    <row r="24" spans="1:10" ht="15.75" thickBot="1">
      <c r="A24" s="74"/>
      <c r="B24" s="75"/>
      <c r="C24" s="783"/>
      <c r="D24" s="790"/>
      <c r="E24" s="796"/>
      <c r="F24" s="801" t="str">
        <f t="shared" si="0"/>
        <v>----</v>
      </c>
      <c r="G24" s="796"/>
      <c r="H24" s="801" t="str">
        <f t="shared" si="1"/>
        <v>----</v>
      </c>
      <c r="I24" s="793"/>
      <c r="J24" s="802" t="str">
        <f t="shared" si="2"/>
        <v>----</v>
      </c>
    </row>
    <row r="25" spans="1:10" ht="15.75" thickBot="1">
      <c r="A25" s="27"/>
      <c r="B25" s="27"/>
      <c r="C25" s="28"/>
      <c r="D25" s="28"/>
      <c r="E25" s="439"/>
      <c r="F25" s="441">
        <f>SUM(F4:F24)</f>
        <v>0</v>
      </c>
      <c r="G25" s="439"/>
      <c r="H25" s="441">
        <f>SUM(H4:H24)</f>
        <v>0</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44019-06DF-4399-A0E9-C852B0656E71}">
  <dimension ref="A1:J23"/>
  <sheetViews>
    <sheetView workbookViewId="0">
      <selection activeCell="G2" sqref="G2:H22"/>
    </sheetView>
  </sheetViews>
  <sheetFormatPr defaultRowHeight="15"/>
  <cols>
    <col min="2" max="2" width="22.85546875" bestFit="1" customWidth="1"/>
    <col min="3" max="4" width="10.7109375" bestFit="1" customWidth="1"/>
    <col min="5" max="5" width="12.28515625" style="432" customWidth="1"/>
    <col min="6" max="6" width="9.85546875" style="432" bestFit="1" customWidth="1"/>
    <col min="7" max="7" width="12.28515625" style="432" customWidth="1"/>
    <col min="8" max="8" width="9.85546875" style="432" bestFit="1" customWidth="1"/>
    <col min="9" max="9" width="12.28515625" customWidth="1"/>
    <col min="10" max="10" width="9.85546875" bestFit="1" customWidth="1"/>
  </cols>
  <sheetData>
    <row r="1" spans="1:10" ht="15.75" thickBot="1">
      <c r="A1" s="952" t="s">
        <v>172</v>
      </c>
      <c r="B1" s="953"/>
      <c r="C1" s="953"/>
      <c r="D1" s="953"/>
      <c r="E1" s="953"/>
      <c r="F1" s="953"/>
      <c r="G1" s="953"/>
      <c r="H1" s="953"/>
      <c r="I1" s="953"/>
      <c r="J1" s="954"/>
    </row>
    <row r="2" spans="1:10" s="432" customFormat="1" ht="15" customHeight="1">
      <c r="A2" s="959" t="s">
        <v>110</v>
      </c>
      <c r="B2" s="961" t="s">
        <v>111</v>
      </c>
      <c r="C2" s="961" t="s">
        <v>112</v>
      </c>
      <c r="D2" s="963" t="s">
        <v>120</v>
      </c>
      <c r="E2" s="957" t="s">
        <v>701</v>
      </c>
      <c r="F2" s="958"/>
      <c r="G2" s="957" t="s">
        <v>702</v>
      </c>
      <c r="H2" s="958"/>
      <c r="I2" s="932" t="s">
        <v>796</v>
      </c>
      <c r="J2" s="933"/>
    </row>
    <row r="3" spans="1:10" ht="57.75" thickBot="1">
      <c r="A3" s="960"/>
      <c r="B3" s="962"/>
      <c r="C3" s="962"/>
      <c r="D3" s="964"/>
      <c r="E3" s="460" t="s">
        <v>121</v>
      </c>
      <c r="F3" s="468" t="s">
        <v>704</v>
      </c>
      <c r="G3" s="460" t="s">
        <v>121</v>
      </c>
      <c r="H3" s="468" t="s">
        <v>704</v>
      </c>
      <c r="I3" s="478" t="s">
        <v>121</v>
      </c>
      <c r="J3" s="25" t="s">
        <v>704</v>
      </c>
    </row>
    <row r="4" spans="1:10">
      <c r="A4" s="70">
        <v>43852</v>
      </c>
      <c r="B4" s="71" t="s">
        <v>173</v>
      </c>
      <c r="C4" s="72">
        <v>527745.1</v>
      </c>
      <c r="D4" s="429">
        <f>C4</f>
        <v>527745.1</v>
      </c>
      <c r="E4" s="469">
        <v>530913.64</v>
      </c>
      <c r="F4" s="470">
        <f>IF(ISBLANK(E4),"----",E4-$D4)</f>
        <v>3168.5400000000373</v>
      </c>
      <c r="G4" s="469" t="s">
        <v>703</v>
      </c>
      <c r="H4" s="470" t="str">
        <f t="shared" ref="H4:H22" si="0">IF(OR(G4="Complete",ISBLANK(G4)),"----",G4-$D4)</f>
        <v>----</v>
      </c>
      <c r="I4" s="479" t="s">
        <v>703</v>
      </c>
      <c r="J4" s="73" t="str">
        <f t="shared" ref="J4:J22" si="1">IF(OR(I4="Complete",ISBLANK(I4)),"----",I4-$D4)</f>
        <v>----</v>
      </c>
    </row>
    <row r="5" spans="1:10">
      <c r="A5" s="91">
        <v>44153</v>
      </c>
      <c r="B5" s="92" t="s">
        <v>324</v>
      </c>
      <c r="C5" s="84">
        <v>575300.88</v>
      </c>
      <c r="D5" s="477">
        <f>C5</f>
        <v>575300.88</v>
      </c>
      <c r="E5" s="482">
        <v>575147.97</v>
      </c>
      <c r="F5" s="483">
        <f t="shared" ref="F5:F22" si="2">IF(ISBLANK(E5),"----",E5-$D5)</f>
        <v>-152.9100000000326</v>
      </c>
      <c r="G5" s="482" t="s">
        <v>703</v>
      </c>
      <c r="H5" s="483" t="str">
        <f t="shared" si="0"/>
        <v>----</v>
      </c>
      <c r="I5" s="480" t="s">
        <v>703</v>
      </c>
      <c r="J5" s="85" t="str">
        <f t="shared" si="1"/>
        <v>----</v>
      </c>
    </row>
    <row r="6" spans="1:10" s="432" customFormat="1">
      <c r="A6" s="449"/>
      <c r="B6" s="450"/>
      <c r="C6" s="446"/>
      <c r="D6" s="466"/>
      <c r="E6" s="473"/>
      <c r="F6" s="485" t="str">
        <f t="shared" si="2"/>
        <v>----</v>
      </c>
      <c r="G6" s="473"/>
      <c r="H6" s="485" t="str">
        <f t="shared" si="0"/>
        <v>----</v>
      </c>
      <c r="I6" s="486"/>
      <c r="J6" s="451" t="str">
        <f t="shared" si="1"/>
        <v>----</v>
      </c>
    </row>
    <row r="7" spans="1:10" s="432" customFormat="1">
      <c r="A7" s="449"/>
      <c r="B7" s="450"/>
      <c r="C7" s="446"/>
      <c r="D7" s="466"/>
      <c r="E7" s="473"/>
      <c r="F7" s="485" t="str">
        <f t="shared" si="2"/>
        <v>----</v>
      </c>
      <c r="G7" s="473"/>
      <c r="H7" s="485" t="str">
        <f t="shared" si="0"/>
        <v>----</v>
      </c>
      <c r="I7" s="486"/>
      <c r="J7" s="451" t="str">
        <f t="shared" si="1"/>
        <v>----</v>
      </c>
    </row>
    <row r="8" spans="1:10" s="432" customFormat="1">
      <c r="A8" s="449"/>
      <c r="B8" s="450"/>
      <c r="C8" s="446"/>
      <c r="D8" s="466"/>
      <c r="E8" s="473"/>
      <c r="F8" s="485" t="str">
        <f t="shared" si="2"/>
        <v>----</v>
      </c>
      <c r="G8" s="473"/>
      <c r="H8" s="485" t="str">
        <f t="shared" si="0"/>
        <v>----</v>
      </c>
      <c r="I8" s="486"/>
      <c r="J8" s="451" t="str">
        <f t="shared" si="1"/>
        <v>----</v>
      </c>
    </row>
    <row r="9" spans="1:10" s="432" customFormat="1">
      <c r="A9" s="449"/>
      <c r="B9" s="450"/>
      <c r="C9" s="446"/>
      <c r="D9" s="466"/>
      <c r="E9" s="473"/>
      <c r="F9" s="485" t="str">
        <f t="shared" si="2"/>
        <v>----</v>
      </c>
      <c r="G9" s="473"/>
      <c r="H9" s="485" t="str">
        <f t="shared" si="0"/>
        <v>----</v>
      </c>
      <c r="I9" s="486"/>
      <c r="J9" s="451" t="str">
        <f t="shared" si="1"/>
        <v>----</v>
      </c>
    </row>
    <row r="10" spans="1:10" s="432" customFormat="1">
      <c r="A10" s="449"/>
      <c r="B10" s="450"/>
      <c r="C10" s="446"/>
      <c r="D10" s="466"/>
      <c r="E10" s="473"/>
      <c r="F10" s="485" t="str">
        <f t="shared" si="2"/>
        <v>----</v>
      </c>
      <c r="G10" s="473"/>
      <c r="H10" s="485" t="str">
        <f t="shared" si="0"/>
        <v>----</v>
      </c>
      <c r="I10" s="486"/>
      <c r="J10" s="451" t="str">
        <f t="shared" si="1"/>
        <v>----</v>
      </c>
    </row>
    <row r="11" spans="1:10" s="432" customFormat="1">
      <c r="A11" s="449"/>
      <c r="B11" s="450"/>
      <c r="C11" s="446"/>
      <c r="D11" s="466"/>
      <c r="E11" s="473"/>
      <c r="F11" s="485" t="str">
        <f t="shared" si="2"/>
        <v>----</v>
      </c>
      <c r="G11" s="473"/>
      <c r="H11" s="485" t="str">
        <f t="shared" si="0"/>
        <v>----</v>
      </c>
      <c r="I11" s="486"/>
      <c r="J11" s="451" t="str">
        <f t="shared" si="1"/>
        <v>----</v>
      </c>
    </row>
    <row r="12" spans="1:10" s="432" customFormat="1">
      <c r="A12" s="449"/>
      <c r="B12" s="450"/>
      <c r="C12" s="446"/>
      <c r="D12" s="466"/>
      <c r="E12" s="473"/>
      <c r="F12" s="485" t="str">
        <f t="shared" si="2"/>
        <v>----</v>
      </c>
      <c r="G12" s="473"/>
      <c r="H12" s="485" t="str">
        <f t="shared" si="0"/>
        <v>----</v>
      </c>
      <c r="I12" s="486"/>
      <c r="J12" s="451" t="str">
        <f t="shared" si="1"/>
        <v>----</v>
      </c>
    </row>
    <row r="13" spans="1:10" s="432" customFormat="1">
      <c r="A13" s="449"/>
      <c r="B13" s="450"/>
      <c r="C13" s="446"/>
      <c r="D13" s="466"/>
      <c r="E13" s="473"/>
      <c r="F13" s="485" t="str">
        <f t="shared" si="2"/>
        <v>----</v>
      </c>
      <c r="G13" s="473"/>
      <c r="H13" s="485" t="str">
        <f t="shared" si="0"/>
        <v>----</v>
      </c>
      <c r="I13" s="486"/>
      <c r="J13" s="451" t="str">
        <f t="shared" si="1"/>
        <v>----</v>
      </c>
    </row>
    <row r="14" spans="1:10" s="432" customFormat="1">
      <c r="A14" s="449"/>
      <c r="B14" s="450"/>
      <c r="C14" s="446"/>
      <c r="D14" s="466"/>
      <c r="E14" s="473"/>
      <c r="F14" s="485" t="str">
        <f t="shared" si="2"/>
        <v>----</v>
      </c>
      <c r="G14" s="473"/>
      <c r="H14" s="485" t="str">
        <f t="shared" si="0"/>
        <v>----</v>
      </c>
      <c r="I14" s="486"/>
      <c r="J14" s="451" t="str">
        <f t="shared" si="1"/>
        <v>----</v>
      </c>
    </row>
    <row r="15" spans="1:10" s="432" customFormat="1">
      <c r="A15" s="449"/>
      <c r="B15" s="450"/>
      <c r="C15" s="446"/>
      <c r="D15" s="466"/>
      <c r="E15" s="473"/>
      <c r="F15" s="485" t="str">
        <f t="shared" si="2"/>
        <v>----</v>
      </c>
      <c r="G15" s="473"/>
      <c r="H15" s="485" t="str">
        <f t="shared" si="0"/>
        <v>----</v>
      </c>
      <c r="I15" s="486"/>
      <c r="J15" s="451" t="str">
        <f t="shared" si="1"/>
        <v>----</v>
      </c>
    </row>
    <row r="16" spans="1:10" s="432" customFormat="1">
      <c r="A16" s="449"/>
      <c r="B16" s="450"/>
      <c r="C16" s="446"/>
      <c r="D16" s="466"/>
      <c r="E16" s="473"/>
      <c r="F16" s="485" t="str">
        <f t="shared" si="2"/>
        <v>----</v>
      </c>
      <c r="G16" s="473"/>
      <c r="H16" s="485" t="str">
        <f t="shared" si="0"/>
        <v>----</v>
      </c>
      <c r="I16" s="486"/>
      <c r="J16" s="451" t="str">
        <f t="shared" si="1"/>
        <v>----</v>
      </c>
    </row>
    <row r="17" spans="1:10" s="432" customFormat="1">
      <c r="A17" s="449"/>
      <c r="B17" s="450"/>
      <c r="C17" s="446"/>
      <c r="D17" s="466"/>
      <c r="E17" s="473"/>
      <c r="F17" s="485" t="str">
        <f t="shared" si="2"/>
        <v>----</v>
      </c>
      <c r="G17" s="473"/>
      <c r="H17" s="485" t="str">
        <f t="shared" si="0"/>
        <v>----</v>
      </c>
      <c r="I17" s="486"/>
      <c r="J17" s="451" t="str">
        <f t="shared" si="1"/>
        <v>----</v>
      </c>
    </row>
    <row r="18" spans="1:10" s="432" customFormat="1">
      <c r="A18" s="449"/>
      <c r="B18" s="450"/>
      <c r="C18" s="446"/>
      <c r="D18" s="466"/>
      <c r="E18" s="473"/>
      <c r="F18" s="485" t="str">
        <f t="shared" si="2"/>
        <v>----</v>
      </c>
      <c r="G18" s="473"/>
      <c r="H18" s="485" t="str">
        <f t="shared" si="0"/>
        <v>----</v>
      </c>
      <c r="I18" s="486"/>
      <c r="J18" s="451" t="str">
        <f t="shared" si="1"/>
        <v>----</v>
      </c>
    </row>
    <row r="19" spans="1:10" s="432" customFormat="1">
      <c r="A19" s="449"/>
      <c r="B19" s="450"/>
      <c r="C19" s="446"/>
      <c r="D19" s="466"/>
      <c r="E19" s="473"/>
      <c r="F19" s="485" t="str">
        <f t="shared" si="2"/>
        <v>----</v>
      </c>
      <c r="G19" s="473"/>
      <c r="H19" s="485" t="str">
        <f t="shared" si="0"/>
        <v>----</v>
      </c>
      <c r="I19" s="486"/>
      <c r="J19" s="451" t="str">
        <f t="shared" si="1"/>
        <v>----</v>
      </c>
    </row>
    <row r="20" spans="1:10" s="432" customFormat="1">
      <c r="A20" s="449"/>
      <c r="B20" s="450"/>
      <c r="C20" s="446"/>
      <c r="D20" s="466"/>
      <c r="E20" s="473"/>
      <c r="F20" s="485" t="str">
        <f t="shared" si="2"/>
        <v>----</v>
      </c>
      <c r="G20" s="473"/>
      <c r="H20" s="485" t="str">
        <f t="shared" si="0"/>
        <v>----</v>
      </c>
      <c r="I20" s="486"/>
      <c r="J20" s="451" t="str">
        <f t="shared" si="1"/>
        <v>----</v>
      </c>
    </row>
    <row r="21" spans="1:10" s="432" customFormat="1">
      <c r="A21" s="452"/>
      <c r="B21" s="453"/>
      <c r="C21" s="454"/>
      <c r="D21" s="467"/>
      <c r="E21" s="474"/>
      <c r="F21" s="487" t="str">
        <f t="shared" si="2"/>
        <v>----</v>
      </c>
      <c r="G21" s="474"/>
      <c r="H21" s="487" t="str">
        <f t="shared" si="0"/>
        <v>----</v>
      </c>
      <c r="I21" s="488"/>
      <c r="J21" s="455" t="str">
        <f t="shared" si="1"/>
        <v>----</v>
      </c>
    </row>
    <row r="22" spans="1:10" ht="15.75" thickBot="1">
      <c r="A22" s="74"/>
      <c r="B22" s="75"/>
      <c r="C22" s="76"/>
      <c r="D22" s="430"/>
      <c r="E22" s="475"/>
      <c r="F22" s="476" t="str">
        <f t="shared" si="2"/>
        <v>----</v>
      </c>
      <c r="G22" s="475"/>
      <c r="H22" s="476" t="str">
        <f t="shared" si="0"/>
        <v>----</v>
      </c>
      <c r="I22" s="481"/>
      <c r="J22" s="77" t="str">
        <f t="shared" si="1"/>
        <v>----</v>
      </c>
    </row>
    <row r="23" spans="1:10" ht="15.75" thickBot="1">
      <c r="A23" s="27"/>
      <c r="B23" s="27"/>
      <c r="C23" s="28"/>
      <c r="D23" s="28"/>
      <c r="E23" s="439"/>
      <c r="F23" s="441">
        <f>SUM(F4:F22)</f>
        <v>3015.6300000000047</v>
      </c>
      <c r="G23" s="439"/>
      <c r="H23" s="441">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EA66F-6A3F-4EEC-8CAE-9233414DF8DC}">
  <dimension ref="A1:K23"/>
  <sheetViews>
    <sheetView workbookViewId="0">
      <selection activeCell="J7" sqref="J7"/>
    </sheetView>
  </sheetViews>
  <sheetFormatPr defaultRowHeight="15"/>
  <cols>
    <col min="2" max="2" width="23.7109375" bestFit="1" customWidth="1"/>
    <col min="3" max="3" width="12" bestFit="1" customWidth="1"/>
    <col min="4" max="4" width="12.28515625" customWidth="1"/>
    <col min="5" max="5" width="10.5703125" style="432" customWidth="1"/>
    <col min="6" max="6" width="12.85546875" style="432" customWidth="1"/>
    <col min="7" max="7" width="10.5703125" style="432" customWidth="1"/>
    <col min="8" max="8" width="12.85546875" style="432" customWidth="1"/>
    <col min="9" max="9" width="10.5703125" customWidth="1"/>
    <col min="10" max="10" width="12.85546875" customWidth="1"/>
  </cols>
  <sheetData>
    <row r="1" spans="1:11" ht="15.75" thickBot="1">
      <c r="A1" s="952" t="s">
        <v>140</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46.5" thickBot="1">
      <c r="A3" s="960"/>
      <c r="B3" s="962"/>
      <c r="C3" s="962"/>
      <c r="D3" s="974"/>
      <c r="E3" s="460" t="s">
        <v>121</v>
      </c>
      <c r="F3" s="468" t="s">
        <v>113</v>
      </c>
      <c r="G3" s="460" t="s">
        <v>121</v>
      </c>
      <c r="H3" s="468" t="s">
        <v>113</v>
      </c>
      <c r="I3" s="478" t="s">
        <v>121</v>
      </c>
      <c r="J3" s="25" t="s">
        <v>113</v>
      </c>
    </row>
    <row r="4" spans="1:11">
      <c r="A4" s="70">
        <v>43788</v>
      </c>
      <c r="B4" s="71" t="s">
        <v>403</v>
      </c>
      <c r="C4" s="72">
        <v>590082.25</v>
      </c>
      <c r="D4" s="429">
        <f>C4</f>
        <v>590082.25</v>
      </c>
      <c r="E4" s="469"/>
      <c r="F4" s="470" t="str">
        <f t="shared" ref="F4:F22" si="0">IF(ISBLANK(E4),"----",E4-D4)</f>
        <v>----</v>
      </c>
      <c r="G4" s="469"/>
      <c r="H4" s="470" t="str">
        <f t="shared" ref="H4:H22" si="1">IF(OR(G4="Complete",ISBLANK(G4)),"----",G4-$D4)</f>
        <v>----</v>
      </c>
      <c r="I4" s="479"/>
      <c r="J4" s="73" t="str">
        <f t="shared" ref="J4:J22" si="2">IF(OR(I4="Complete",ISBLANK(I4)),"----",I4-$D4)</f>
        <v>----</v>
      </c>
    </row>
    <row r="5" spans="1:11">
      <c r="A5" s="88">
        <v>44243</v>
      </c>
      <c r="B5" s="101" t="s">
        <v>402</v>
      </c>
      <c r="C5" s="82">
        <v>598259.81000000006</v>
      </c>
      <c r="D5" s="431">
        <f>C5</f>
        <v>598259.81000000006</v>
      </c>
      <c r="E5" s="471">
        <v>593849.59999999998</v>
      </c>
      <c r="F5" s="472">
        <f t="shared" si="0"/>
        <v>-4410.2100000000792</v>
      </c>
      <c r="G5" s="471" t="s">
        <v>703</v>
      </c>
      <c r="H5" s="472" t="str">
        <f t="shared" si="1"/>
        <v>----</v>
      </c>
      <c r="I5" s="484" t="s">
        <v>703</v>
      </c>
      <c r="J5" s="83" t="str">
        <f t="shared" si="2"/>
        <v>----</v>
      </c>
    </row>
    <row r="6" spans="1:11">
      <c r="A6" s="266">
        <v>44460</v>
      </c>
      <c r="B6" s="267" t="s">
        <v>457</v>
      </c>
      <c r="C6" s="268">
        <v>1410959.85</v>
      </c>
      <c r="D6" s="578" t="s">
        <v>509</v>
      </c>
      <c r="E6" s="580"/>
      <c r="F6" s="581" t="str">
        <f t="shared" si="0"/>
        <v>----</v>
      </c>
      <c r="G6" s="580"/>
      <c r="H6" s="581" t="str">
        <f t="shared" si="1"/>
        <v>----</v>
      </c>
      <c r="I6" s="579">
        <f>1650187.98-1650187.98</f>
        <v>0</v>
      </c>
      <c r="J6" s="269">
        <v>0</v>
      </c>
      <c r="K6" s="270" t="s">
        <v>510</v>
      </c>
    </row>
    <row r="7" spans="1:11">
      <c r="A7" s="102">
        <v>44824</v>
      </c>
      <c r="B7" s="103" t="s">
        <v>566</v>
      </c>
      <c r="C7" s="87">
        <v>1596014.25</v>
      </c>
      <c r="D7" s="466">
        <v>596014.25</v>
      </c>
      <c r="E7" s="473"/>
      <c r="F7" s="472" t="str">
        <f t="shared" si="0"/>
        <v>----</v>
      </c>
      <c r="G7" s="473"/>
      <c r="H7" s="472" t="str">
        <f t="shared" si="1"/>
        <v>----</v>
      </c>
      <c r="I7" s="486"/>
      <c r="J7" s="83" t="str">
        <f t="shared" si="2"/>
        <v>----</v>
      </c>
      <c r="K7" t="s">
        <v>565</v>
      </c>
    </row>
    <row r="8" spans="1:11">
      <c r="A8" s="102">
        <v>45308</v>
      </c>
      <c r="B8" s="103" t="s">
        <v>712</v>
      </c>
      <c r="C8" s="87">
        <v>574020.69999999995</v>
      </c>
      <c r="D8" s="466">
        <f>C8</f>
        <v>574020.69999999995</v>
      </c>
      <c r="E8" s="473"/>
      <c r="F8" s="472" t="str">
        <f t="shared" si="0"/>
        <v>----</v>
      </c>
      <c r="G8" s="473"/>
      <c r="H8" s="472" t="str">
        <f t="shared" si="1"/>
        <v>----</v>
      </c>
      <c r="I8" s="486"/>
      <c r="J8" s="83" t="str">
        <f t="shared" si="2"/>
        <v>----</v>
      </c>
    </row>
    <row r="9" spans="1:11">
      <c r="A9" s="102"/>
      <c r="B9" s="103"/>
      <c r="C9" s="87"/>
      <c r="D9" s="466"/>
      <c r="E9" s="473"/>
      <c r="F9" s="472" t="str">
        <f t="shared" si="0"/>
        <v>----</v>
      </c>
      <c r="G9" s="473"/>
      <c r="H9" s="472" t="str">
        <f t="shared" si="1"/>
        <v>----</v>
      </c>
      <c r="I9" s="486"/>
      <c r="J9" s="83" t="str">
        <f t="shared" si="2"/>
        <v>----</v>
      </c>
    </row>
    <row r="10" spans="1:11">
      <c r="A10" s="102"/>
      <c r="B10" s="103"/>
      <c r="C10" s="87"/>
      <c r="D10" s="466"/>
      <c r="E10" s="473"/>
      <c r="F10" s="472" t="str">
        <f t="shared" si="0"/>
        <v>----</v>
      </c>
      <c r="G10" s="473"/>
      <c r="H10" s="472" t="str">
        <f t="shared" si="1"/>
        <v>----</v>
      </c>
      <c r="I10" s="486"/>
      <c r="J10" s="83" t="str">
        <f t="shared" si="2"/>
        <v>----</v>
      </c>
    </row>
    <row r="11" spans="1:11">
      <c r="A11" s="102"/>
      <c r="B11" s="103"/>
      <c r="C11" s="87"/>
      <c r="D11" s="466"/>
      <c r="E11" s="473"/>
      <c r="F11" s="472" t="str">
        <f t="shared" si="0"/>
        <v>----</v>
      </c>
      <c r="G11" s="473"/>
      <c r="H11" s="472" t="str">
        <f t="shared" si="1"/>
        <v>----</v>
      </c>
      <c r="I11" s="486"/>
      <c r="J11" s="83" t="str">
        <f t="shared" si="2"/>
        <v>----</v>
      </c>
    </row>
    <row r="12" spans="1:11">
      <c r="A12" s="102"/>
      <c r="B12" s="103"/>
      <c r="C12" s="87"/>
      <c r="D12" s="466"/>
      <c r="E12" s="473"/>
      <c r="F12" s="472" t="str">
        <f t="shared" si="0"/>
        <v>----</v>
      </c>
      <c r="G12" s="473"/>
      <c r="H12" s="472" t="str">
        <f t="shared" si="1"/>
        <v>----</v>
      </c>
      <c r="I12" s="486"/>
      <c r="J12" s="83" t="str">
        <f t="shared" si="2"/>
        <v>----</v>
      </c>
    </row>
    <row r="13" spans="1:11">
      <c r="A13" s="102"/>
      <c r="B13" s="103"/>
      <c r="C13" s="87"/>
      <c r="D13" s="466"/>
      <c r="E13" s="473"/>
      <c r="F13" s="472" t="str">
        <f t="shared" si="0"/>
        <v>----</v>
      </c>
      <c r="G13" s="473"/>
      <c r="H13" s="472" t="str">
        <f t="shared" si="1"/>
        <v>----</v>
      </c>
      <c r="I13" s="486"/>
      <c r="J13" s="83" t="str">
        <f t="shared" si="2"/>
        <v>----</v>
      </c>
    </row>
    <row r="14" spans="1:11">
      <c r="A14" s="102"/>
      <c r="B14" s="103"/>
      <c r="C14" s="87"/>
      <c r="D14" s="466"/>
      <c r="E14" s="473"/>
      <c r="F14" s="472" t="str">
        <f t="shared" si="0"/>
        <v>----</v>
      </c>
      <c r="G14" s="473"/>
      <c r="H14" s="472" t="str">
        <f t="shared" si="1"/>
        <v>----</v>
      </c>
      <c r="I14" s="486"/>
      <c r="J14" s="83" t="str">
        <f t="shared" si="2"/>
        <v>----</v>
      </c>
    </row>
    <row r="15" spans="1:11">
      <c r="A15" s="102"/>
      <c r="B15" s="103"/>
      <c r="C15" s="87"/>
      <c r="D15" s="466"/>
      <c r="E15" s="473"/>
      <c r="F15" s="472" t="str">
        <f t="shared" si="0"/>
        <v>----</v>
      </c>
      <c r="G15" s="473"/>
      <c r="H15" s="472" t="str">
        <f t="shared" si="1"/>
        <v>----</v>
      </c>
      <c r="I15" s="486"/>
      <c r="J15" s="83" t="str">
        <f t="shared" si="2"/>
        <v>----</v>
      </c>
    </row>
    <row r="16" spans="1:11">
      <c r="A16" s="102"/>
      <c r="B16" s="103"/>
      <c r="C16" s="87"/>
      <c r="D16" s="466"/>
      <c r="E16" s="473"/>
      <c r="F16" s="472" t="str">
        <f t="shared" si="0"/>
        <v>----</v>
      </c>
      <c r="G16" s="473"/>
      <c r="H16" s="472" t="str">
        <f t="shared" si="1"/>
        <v>----</v>
      </c>
      <c r="I16" s="486"/>
      <c r="J16" s="83" t="str">
        <f t="shared" si="2"/>
        <v>----</v>
      </c>
    </row>
    <row r="17" spans="1:10">
      <c r="A17" s="102"/>
      <c r="B17" s="103"/>
      <c r="C17" s="87"/>
      <c r="D17" s="466"/>
      <c r="E17" s="473"/>
      <c r="F17" s="472" t="str">
        <f t="shared" si="0"/>
        <v>----</v>
      </c>
      <c r="G17" s="473"/>
      <c r="H17" s="472" t="str">
        <f t="shared" si="1"/>
        <v>----</v>
      </c>
      <c r="I17" s="486"/>
      <c r="J17" s="83" t="str">
        <f t="shared" si="2"/>
        <v>----</v>
      </c>
    </row>
    <row r="18" spans="1:10">
      <c r="A18" s="102"/>
      <c r="B18" s="103"/>
      <c r="C18" s="87"/>
      <c r="D18" s="466"/>
      <c r="E18" s="473"/>
      <c r="F18" s="472" t="str">
        <f t="shared" si="0"/>
        <v>----</v>
      </c>
      <c r="G18" s="473"/>
      <c r="H18" s="472" t="str">
        <f t="shared" si="1"/>
        <v>----</v>
      </c>
      <c r="I18" s="486"/>
      <c r="J18" s="83" t="str">
        <f t="shared" si="2"/>
        <v>----</v>
      </c>
    </row>
    <row r="19" spans="1:10">
      <c r="A19" s="102"/>
      <c r="B19" s="103"/>
      <c r="C19" s="87"/>
      <c r="D19" s="466"/>
      <c r="E19" s="473"/>
      <c r="F19" s="472" t="str">
        <f t="shared" si="0"/>
        <v>----</v>
      </c>
      <c r="G19" s="473"/>
      <c r="H19" s="472" t="str">
        <f t="shared" si="1"/>
        <v>----</v>
      </c>
      <c r="I19" s="486"/>
      <c r="J19" s="83" t="str">
        <f t="shared" si="2"/>
        <v>----</v>
      </c>
    </row>
    <row r="20" spans="1:10">
      <c r="A20" s="102"/>
      <c r="B20" s="103"/>
      <c r="C20" s="87"/>
      <c r="D20" s="466"/>
      <c r="E20" s="473"/>
      <c r="F20" s="472" t="str">
        <f t="shared" si="0"/>
        <v>----</v>
      </c>
      <c r="G20" s="473"/>
      <c r="H20" s="472" t="str">
        <f t="shared" si="1"/>
        <v>----</v>
      </c>
      <c r="I20" s="486"/>
      <c r="J20" s="83" t="str">
        <f t="shared" si="2"/>
        <v>----</v>
      </c>
    </row>
    <row r="21" spans="1:10">
      <c r="A21" s="116"/>
      <c r="B21" s="117"/>
      <c r="C21" s="118"/>
      <c r="D21" s="467"/>
      <c r="E21" s="474"/>
      <c r="F21" s="472" t="str">
        <f t="shared" si="0"/>
        <v>----</v>
      </c>
      <c r="G21" s="474"/>
      <c r="H21" s="472" t="str">
        <f t="shared" si="1"/>
        <v>----</v>
      </c>
      <c r="I21" s="488"/>
      <c r="J21" s="83" t="str">
        <f t="shared" si="2"/>
        <v>----</v>
      </c>
    </row>
    <row r="22" spans="1:10" ht="15.75" thickBot="1">
      <c r="A22" s="74"/>
      <c r="B22" s="75"/>
      <c r="C22" s="76"/>
      <c r="D22" s="430"/>
      <c r="E22" s="475"/>
      <c r="F22" s="476" t="str">
        <f t="shared" si="0"/>
        <v>----</v>
      </c>
      <c r="G22" s="475"/>
      <c r="H22" s="476" t="str">
        <f t="shared" si="1"/>
        <v>----</v>
      </c>
      <c r="I22" s="481"/>
      <c r="J22" s="77" t="str">
        <f t="shared" si="2"/>
        <v>----</v>
      </c>
    </row>
    <row r="23" spans="1:10" ht="15.75" thickBot="1">
      <c r="A23" s="27"/>
      <c r="B23" s="27"/>
      <c r="C23" s="28"/>
      <c r="D23" s="28"/>
      <c r="E23" s="439"/>
      <c r="F23" s="441">
        <f>SUM(F4:F22)</f>
        <v>-4410.2100000000792</v>
      </c>
      <c r="G23" s="439"/>
      <c r="H23" s="441">
        <f>SUM(H4:H22)</f>
        <v>0</v>
      </c>
      <c r="I23" s="28"/>
      <c r="J23" s="69">
        <f>SUM(J4:J22)</f>
        <v>0</v>
      </c>
    </row>
  </sheetData>
  <mergeCells count="8">
    <mergeCell ref="A1:J1"/>
    <mergeCell ref="I2:J2"/>
    <mergeCell ref="A2:A3"/>
    <mergeCell ref="B2:B3"/>
    <mergeCell ref="C2:C3"/>
    <mergeCell ref="D2:D3"/>
    <mergeCell ref="E2:F2"/>
    <mergeCell ref="G2:H2"/>
  </mergeCells>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E03F3-0F5C-4BED-BA0B-CF0FEC4A8E03}">
  <dimension ref="A1:J23"/>
  <sheetViews>
    <sheetView workbookViewId="0">
      <selection activeCell="L14" sqref="L14"/>
    </sheetView>
  </sheetViews>
  <sheetFormatPr defaultRowHeight="15"/>
  <cols>
    <col min="2" max="2" width="22.42578125" bestFit="1" customWidth="1"/>
    <col min="3" max="4" width="12" bestFit="1" customWidth="1"/>
    <col min="5" max="5" width="12" style="432" bestFit="1" customWidth="1"/>
    <col min="6" max="6" width="14" style="432" customWidth="1"/>
    <col min="7" max="7" width="12" style="432" bestFit="1" customWidth="1"/>
    <col min="8" max="8" width="14" style="432" customWidth="1"/>
    <col min="9" max="9" width="12" bestFit="1" customWidth="1"/>
    <col min="10" max="10" width="14" customWidth="1"/>
  </cols>
  <sheetData>
    <row r="1" spans="1:10" ht="15.75" thickBot="1">
      <c r="A1" s="952" t="s">
        <v>187</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46.5" thickBot="1">
      <c r="A3" s="960"/>
      <c r="B3" s="962"/>
      <c r="C3" s="962"/>
      <c r="D3" s="974"/>
      <c r="E3" s="460" t="s">
        <v>121</v>
      </c>
      <c r="F3" s="468" t="s">
        <v>113</v>
      </c>
      <c r="G3" s="460" t="s">
        <v>121</v>
      </c>
      <c r="H3" s="468" t="s">
        <v>113</v>
      </c>
      <c r="I3" s="478" t="s">
        <v>121</v>
      </c>
      <c r="J3" s="25" t="s">
        <v>113</v>
      </c>
    </row>
    <row r="4" spans="1:10">
      <c r="A4" s="70">
        <v>43852</v>
      </c>
      <c r="B4" s="71" t="s">
        <v>191</v>
      </c>
      <c r="C4" s="72">
        <v>2217900.0499999998</v>
      </c>
      <c r="D4" s="429">
        <f>C4</f>
        <v>2217900.0499999998</v>
      </c>
      <c r="E4" s="513">
        <v>2258461.2599999998</v>
      </c>
      <c r="F4" s="470">
        <f t="shared" ref="F4:F22" si="0">IF(ISBLANK(E4),"----",E4-D4)</f>
        <v>40561.209999999963</v>
      </c>
      <c r="G4" s="469" t="s">
        <v>703</v>
      </c>
      <c r="H4" s="470" t="str">
        <f t="shared" ref="H4:H22" si="1">IF(OR(G4="Complete",ISBLANK(G4)),"----",G4-$D4)</f>
        <v>----</v>
      </c>
      <c r="I4" s="479" t="s">
        <v>703</v>
      </c>
      <c r="J4" s="73" t="str">
        <f t="shared" ref="J4:J22" si="2">IF(OR(I4="Complete",ISBLANK(I4)),"----",I4-$D4)</f>
        <v>----</v>
      </c>
    </row>
    <row r="5" spans="1:10">
      <c r="A5" s="88">
        <v>44180</v>
      </c>
      <c r="B5" s="101" t="s">
        <v>365</v>
      </c>
      <c r="C5" s="457">
        <v>907604.08</v>
      </c>
      <c r="D5" s="504">
        <f>C5</f>
        <v>907604.08</v>
      </c>
      <c r="E5" s="587">
        <v>922172.46</v>
      </c>
      <c r="F5" s="588">
        <f t="shared" si="0"/>
        <v>14568.380000000005</v>
      </c>
      <c r="G5" s="587" t="s">
        <v>703</v>
      </c>
      <c r="H5" s="588" t="str">
        <f t="shared" si="1"/>
        <v>----</v>
      </c>
      <c r="I5" s="589" t="s">
        <v>703</v>
      </c>
      <c r="J5" s="590" t="str">
        <f t="shared" si="2"/>
        <v>----</v>
      </c>
    </row>
    <row r="6" spans="1:10">
      <c r="A6" s="102"/>
      <c r="B6" s="103"/>
      <c r="C6" s="87"/>
      <c r="D6" s="466"/>
      <c r="E6" s="473"/>
      <c r="F6" s="487" t="str">
        <f t="shared" si="0"/>
        <v>----</v>
      </c>
      <c r="G6" s="473"/>
      <c r="H6" s="487" t="str">
        <f t="shared" si="1"/>
        <v>----</v>
      </c>
      <c r="I6" s="486"/>
      <c r="J6" s="119" t="str">
        <f t="shared" si="2"/>
        <v>----</v>
      </c>
    </row>
    <row r="7" spans="1:10">
      <c r="A7" s="102"/>
      <c r="B7" s="103"/>
      <c r="C7" s="87"/>
      <c r="D7" s="466"/>
      <c r="E7" s="473"/>
      <c r="F7" s="521" t="str">
        <f t="shared" si="0"/>
        <v>----</v>
      </c>
      <c r="G7" s="473"/>
      <c r="H7" s="521" t="str">
        <f t="shared" si="1"/>
        <v>----</v>
      </c>
      <c r="I7" s="486"/>
      <c r="J7" s="140" t="str">
        <f t="shared" si="2"/>
        <v>----</v>
      </c>
    </row>
    <row r="8" spans="1:10">
      <c r="A8" s="102"/>
      <c r="B8" s="103"/>
      <c r="C8" s="87"/>
      <c r="D8" s="466"/>
      <c r="E8" s="473"/>
      <c r="F8" s="521" t="str">
        <f t="shared" si="0"/>
        <v>----</v>
      </c>
      <c r="G8" s="473"/>
      <c r="H8" s="521" t="str">
        <f t="shared" si="1"/>
        <v>----</v>
      </c>
      <c r="I8" s="486"/>
      <c r="J8" s="140" t="str">
        <f t="shared" si="2"/>
        <v>----</v>
      </c>
    </row>
    <row r="9" spans="1:10">
      <c r="A9" s="102"/>
      <c r="B9" s="103"/>
      <c r="C9" s="87"/>
      <c r="D9" s="466"/>
      <c r="E9" s="473"/>
      <c r="F9" s="521" t="str">
        <f t="shared" si="0"/>
        <v>----</v>
      </c>
      <c r="G9" s="473"/>
      <c r="H9" s="521" t="str">
        <f t="shared" si="1"/>
        <v>----</v>
      </c>
      <c r="I9" s="486"/>
      <c r="J9" s="140" t="str">
        <f t="shared" si="2"/>
        <v>----</v>
      </c>
    </row>
    <row r="10" spans="1:10">
      <c r="A10" s="102"/>
      <c r="B10" s="103"/>
      <c r="C10" s="87"/>
      <c r="D10" s="466"/>
      <c r="E10" s="473"/>
      <c r="F10" s="521" t="str">
        <f t="shared" si="0"/>
        <v>----</v>
      </c>
      <c r="G10" s="473"/>
      <c r="H10" s="521" t="str">
        <f t="shared" si="1"/>
        <v>----</v>
      </c>
      <c r="I10" s="486"/>
      <c r="J10" s="140" t="str">
        <f t="shared" si="2"/>
        <v>----</v>
      </c>
    </row>
    <row r="11" spans="1:10">
      <c r="A11" s="102"/>
      <c r="B11" s="103"/>
      <c r="C11" s="87"/>
      <c r="D11" s="466"/>
      <c r="E11" s="473"/>
      <c r="F11" s="521" t="str">
        <f t="shared" si="0"/>
        <v>----</v>
      </c>
      <c r="G11" s="473"/>
      <c r="H11" s="521" t="str">
        <f t="shared" si="1"/>
        <v>----</v>
      </c>
      <c r="I11" s="486"/>
      <c r="J11" s="140" t="str">
        <f t="shared" si="2"/>
        <v>----</v>
      </c>
    </row>
    <row r="12" spans="1:10">
      <c r="A12" s="102"/>
      <c r="B12" s="103"/>
      <c r="C12" s="87"/>
      <c r="D12" s="466"/>
      <c r="E12" s="473"/>
      <c r="F12" s="521" t="str">
        <f t="shared" si="0"/>
        <v>----</v>
      </c>
      <c r="G12" s="473"/>
      <c r="H12" s="521" t="str">
        <f t="shared" si="1"/>
        <v>----</v>
      </c>
      <c r="I12" s="486"/>
      <c r="J12" s="140" t="str">
        <f t="shared" si="2"/>
        <v>----</v>
      </c>
    </row>
    <row r="13" spans="1:10">
      <c r="A13" s="102"/>
      <c r="B13" s="103"/>
      <c r="C13" s="87"/>
      <c r="D13" s="466"/>
      <c r="E13" s="473"/>
      <c r="F13" s="521" t="str">
        <f t="shared" si="0"/>
        <v>----</v>
      </c>
      <c r="G13" s="473"/>
      <c r="H13" s="521" t="str">
        <f t="shared" si="1"/>
        <v>----</v>
      </c>
      <c r="I13" s="486"/>
      <c r="J13" s="140" t="str">
        <f t="shared" si="2"/>
        <v>----</v>
      </c>
    </row>
    <row r="14" spans="1:10">
      <c r="A14" s="102"/>
      <c r="B14" s="103"/>
      <c r="C14" s="87"/>
      <c r="D14" s="466"/>
      <c r="E14" s="473"/>
      <c r="F14" s="521" t="str">
        <f t="shared" si="0"/>
        <v>----</v>
      </c>
      <c r="G14" s="473"/>
      <c r="H14" s="521" t="str">
        <f t="shared" si="1"/>
        <v>----</v>
      </c>
      <c r="I14" s="486"/>
      <c r="J14" s="140" t="str">
        <f t="shared" si="2"/>
        <v>----</v>
      </c>
    </row>
    <row r="15" spans="1:10">
      <c r="A15" s="102"/>
      <c r="B15" s="103"/>
      <c r="C15" s="87"/>
      <c r="D15" s="466"/>
      <c r="E15" s="473"/>
      <c r="F15" s="521" t="str">
        <f t="shared" si="0"/>
        <v>----</v>
      </c>
      <c r="G15" s="473"/>
      <c r="H15" s="521" t="str">
        <f t="shared" si="1"/>
        <v>----</v>
      </c>
      <c r="I15" s="486"/>
      <c r="J15" s="140" t="str">
        <f t="shared" si="2"/>
        <v>----</v>
      </c>
    </row>
    <row r="16" spans="1:10">
      <c r="A16" s="102"/>
      <c r="B16" s="103"/>
      <c r="C16" s="87"/>
      <c r="D16" s="466"/>
      <c r="E16" s="473"/>
      <c r="F16" s="521" t="str">
        <f t="shared" si="0"/>
        <v>----</v>
      </c>
      <c r="G16" s="473"/>
      <c r="H16" s="521" t="str">
        <f t="shared" si="1"/>
        <v>----</v>
      </c>
      <c r="I16" s="486"/>
      <c r="J16" s="140" t="str">
        <f t="shared" si="2"/>
        <v>----</v>
      </c>
    </row>
    <row r="17" spans="1:10">
      <c r="A17" s="102"/>
      <c r="B17" s="103"/>
      <c r="C17" s="87"/>
      <c r="D17" s="466"/>
      <c r="E17" s="473"/>
      <c r="F17" s="521" t="str">
        <f t="shared" si="0"/>
        <v>----</v>
      </c>
      <c r="G17" s="473"/>
      <c r="H17" s="521" t="str">
        <f t="shared" si="1"/>
        <v>----</v>
      </c>
      <c r="I17" s="486"/>
      <c r="J17" s="140" t="str">
        <f t="shared" si="2"/>
        <v>----</v>
      </c>
    </row>
    <row r="18" spans="1:10">
      <c r="A18" s="102"/>
      <c r="B18" s="103"/>
      <c r="C18" s="87"/>
      <c r="D18" s="466"/>
      <c r="E18" s="473"/>
      <c r="F18" s="521" t="str">
        <f t="shared" si="0"/>
        <v>----</v>
      </c>
      <c r="G18" s="473"/>
      <c r="H18" s="521" t="str">
        <f t="shared" si="1"/>
        <v>----</v>
      </c>
      <c r="I18" s="486"/>
      <c r="J18" s="140" t="str">
        <f t="shared" si="2"/>
        <v>----</v>
      </c>
    </row>
    <row r="19" spans="1:10">
      <c r="A19" s="102"/>
      <c r="B19" s="103"/>
      <c r="C19" s="87"/>
      <c r="D19" s="466"/>
      <c r="E19" s="473"/>
      <c r="F19" s="521" t="str">
        <f t="shared" si="0"/>
        <v>----</v>
      </c>
      <c r="G19" s="473"/>
      <c r="H19" s="521" t="str">
        <f t="shared" si="1"/>
        <v>----</v>
      </c>
      <c r="I19" s="486"/>
      <c r="J19" s="140" t="str">
        <f t="shared" si="2"/>
        <v>----</v>
      </c>
    </row>
    <row r="20" spans="1:10">
      <c r="A20" s="102"/>
      <c r="B20" s="103"/>
      <c r="C20" s="87"/>
      <c r="D20" s="466"/>
      <c r="E20" s="473"/>
      <c r="F20" s="521" t="str">
        <f t="shared" si="0"/>
        <v>----</v>
      </c>
      <c r="G20" s="473"/>
      <c r="H20" s="521" t="str">
        <f t="shared" si="1"/>
        <v>----</v>
      </c>
      <c r="I20" s="486"/>
      <c r="J20" s="140" t="str">
        <f t="shared" si="2"/>
        <v>----</v>
      </c>
    </row>
    <row r="21" spans="1:10">
      <c r="A21" s="91"/>
      <c r="B21" s="92"/>
      <c r="C21" s="84"/>
      <c r="D21" s="477"/>
      <c r="E21" s="482"/>
      <c r="F21" s="521" t="str">
        <f t="shared" si="0"/>
        <v>----</v>
      </c>
      <c r="G21" s="482"/>
      <c r="H21" s="521" t="str">
        <f t="shared" si="1"/>
        <v>----</v>
      </c>
      <c r="I21" s="480"/>
      <c r="J21" s="140" t="str">
        <f t="shared" si="2"/>
        <v>----</v>
      </c>
    </row>
    <row r="22" spans="1:10" ht="15.75" thickBot="1">
      <c r="A22" s="74"/>
      <c r="B22" s="75"/>
      <c r="C22" s="76"/>
      <c r="D22" s="430"/>
      <c r="E22" s="475"/>
      <c r="F22" s="476" t="str">
        <f t="shared" si="0"/>
        <v>----</v>
      </c>
      <c r="G22" s="475"/>
      <c r="H22" s="476" t="str">
        <f t="shared" si="1"/>
        <v>----</v>
      </c>
      <c r="I22" s="481"/>
      <c r="J22" s="77" t="str">
        <f t="shared" si="2"/>
        <v>----</v>
      </c>
    </row>
    <row r="23" spans="1:10" ht="15.75" thickBot="1">
      <c r="A23" s="27"/>
      <c r="B23" s="27"/>
      <c r="C23" s="28"/>
      <c r="D23" s="28"/>
      <c r="E23" s="439"/>
      <c r="F23" s="441">
        <f>SUM(F4:F22)</f>
        <v>55129.589999999967</v>
      </c>
      <c r="G23" s="439"/>
      <c r="H23" s="441">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91545-293B-4AAA-8935-9C07583070F5}">
  <dimension ref="A1:J22"/>
  <sheetViews>
    <sheetView zoomScaleNormal="100" workbookViewId="0">
      <selection activeCell="F16" sqref="F16"/>
    </sheetView>
  </sheetViews>
  <sheetFormatPr defaultRowHeight="15"/>
  <cols>
    <col min="2" max="2" width="22.85546875" bestFit="1" customWidth="1"/>
    <col min="3" max="4" width="12" bestFit="1" customWidth="1"/>
    <col min="5" max="5" width="10.7109375" style="432" bestFit="1" customWidth="1"/>
    <col min="6" max="6" width="9.140625" style="432"/>
    <col min="7" max="7" width="10.7109375" style="432" bestFit="1" customWidth="1"/>
    <col min="8" max="8" width="10.42578125" style="432" bestFit="1" customWidth="1"/>
    <col min="9" max="9" width="10.7109375" bestFit="1" customWidth="1"/>
  </cols>
  <sheetData>
    <row r="1" spans="1:10" ht="15.75" thickBot="1">
      <c r="A1" s="952" t="s">
        <v>281</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69" thickBot="1">
      <c r="A3" s="960"/>
      <c r="B3" s="962"/>
      <c r="C3" s="962"/>
      <c r="D3" s="974"/>
      <c r="E3" s="460" t="s">
        <v>121</v>
      </c>
      <c r="F3" s="468" t="s">
        <v>113</v>
      </c>
      <c r="G3" s="460" t="s">
        <v>121</v>
      </c>
      <c r="H3" s="468" t="s">
        <v>113</v>
      </c>
      <c r="I3" s="478" t="s">
        <v>121</v>
      </c>
      <c r="J3" s="25" t="s">
        <v>113</v>
      </c>
    </row>
    <row r="4" spans="1:10">
      <c r="A4" s="70">
        <v>44180</v>
      </c>
      <c r="B4" s="71" t="s">
        <v>366</v>
      </c>
      <c r="C4" s="781">
        <v>613276.30000000005</v>
      </c>
      <c r="D4" s="787">
        <f>C4</f>
        <v>613276.30000000005</v>
      </c>
      <c r="E4" s="794">
        <v>616949.07999999996</v>
      </c>
      <c r="F4" s="803">
        <f t="shared" ref="F4:F21" si="0">IF(ISBLANK(E4),"----",E4-D4)</f>
        <v>3672.7799999999115</v>
      </c>
      <c r="G4" s="794" t="s">
        <v>703</v>
      </c>
      <c r="H4" s="803" t="str">
        <f t="shared" ref="H4:H21" si="1">IF(OR(G4="Complete",ISBLANK(G4)),"----",G4-$D4)</f>
        <v>----</v>
      </c>
      <c r="I4" s="791" t="s">
        <v>703</v>
      </c>
      <c r="J4" s="804" t="str">
        <f t="shared" ref="J4:J21" si="2">IF(OR(I4="Complete",ISBLANK(I4)),"----",I4-$D4)</f>
        <v>----</v>
      </c>
    </row>
    <row r="5" spans="1:10">
      <c r="A5" s="88">
        <v>44425</v>
      </c>
      <c r="B5" s="101" t="s">
        <v>448</v>
      </c>
      <c r="C5" s="784">
        <v>497173.2</v>
      </c>
      <c r="D5" s="788">
        <f>C5</f>
        <v>497173.2</v>
      </c>
      <c r="E5" s="795"/>
      <c r="F5" s="807" t="str">
        <f t="shared" si="0"/>
        <v>----</v>
      </c>
      <c r="G5" s="795"/>
      <c r="H5" s="807" t="str">
        <f t="shared" si="1"/>
        <v>----</v>
      </c>
      <c r="I5" s="792"/>
      <c r="J5" s="808" t="str">
        <f t="shared" si="2"/>
        <v>----</v>
      </c>
    </row>
    <row r="6" spans="1:10">
      <c r="A6" s="91">
        <v>44425</v>
      </c>
      <c r="B6" s="92" t="s">
        <v>449</v>
      </c>
      <c r="C6" s="782">
        <v>1113678.29</v>
      </c>
      <c r="D6" s="797">
        <f>C6</f>
        <v>1113678.29</v>
      </c>
      <c r="E6" s="799"/>
      <c r="F6" s="662" t="str">
        <f t="shared" si="0"/>
        <v>----</v>
      </c>
      <c r="G6" s="799">
        <v>1052472.1399999999</v>
      </c>
      <c r="H6" s="662">
        <f t="shared" si="1"/>
        <v>-61206.15000000014</v>
      </c>
      <c r="I6" s="798" t="s">
        <v>703</v>
      </c>
      <c r="J6" s="663" t="str">
        <f t="shared" si="2"/>
        <v>----</v>
      </c>
    </row>
    <row r="7" spans="1:10">
      <c r="A7" s="88">
        <v>44460</v>
      </c>
      <c r="B7" s="101" t="s">
        <v>458</v>
      </c>
      <c r="C7" s="784">
        <v>1026961.51</v>
      </c>
      <c r="D7" s="788">
        <v>562691.51</v>
      </c>
      <c r="E7" s="795"/>
      <c r="F7" s="807" t="str">
        <f t="shared" si="0"/>
        <v>----</v>
      </c>
      <c r="G7" s="848"/>
      <c r="H7" s="807" t="str">
        <f t="shared" si="1"/>
        <v>----</v>
      </c>
      <c r="I7" s="849">
        <f>1025829.83-464270</f>
        <v>561559.82999999996</v>
      </c>
      <c r="J7" s="808">
        <f t="shared" si="2"/>
        <v>-1131.6800000000512</v>
      </c>
    </row>
    <row r="8" spans="1:10">
      <c r="A8" s="91">
        <v>44516</v>
      </c>
      <c r="B8" s="92" t="s">
        <v>468</v>
      </c>
      <c r="C8" s="782">
        <v>603692</v>
      </c>
      <c r="D8" s="789">
        <f>C8</f>
        <v>603692</v>
      </c>
      <c r="E8" s="799"/>
      <c r="F8" s="662" t="str">
        <f t="shared" si="0"/>
        <v>----</v>
      </c>
      <c r="G8" s="799"/>
      <c r="H8" s="662" t="str">
        <f t="shared" si="1"/>
        <v>----</v>
      </c>
      <c r="I8" s="798"/>
      <c r="J8" s="663" t="str">
        <f t="shared" si="2"/>
        <v>----</v>
      </c>
    </row>
    <row r="9" spans="1:10">
      <c r="A9" s="88">
        <v>44761</v>
      </c>
      <c r="B9" s="101" t="s">
        <v>548</v>
      </c>
      <c r="C9" s="784">
        <v>1772735.58</v>
      </c>
      <c r="D9" s="778">
        <f>C9</f>
        <v>1772735.58</v>
      </c>
      <c r="E9" s="795"/>
      <c r="F9" s="807" t="str">
        <f t="shared" si="0"/>
        <v>----</v>
      </c>
      <c r="G9" s="795"/>
      <c r="H9" s="807" t="str">
        <f t="shared" si="1"/>
        <v>----</v>
      </c>
      <c r="I9" s="792"/>
      <c r="J9" s="808" t="str">
        <f t="shared" si="2"/>
        <v>----</v>
      </c>
    </row>
    <row r="10" spans="1:10">
      <c r="A10" s="91">
        <v>45279</v>
      </c>
      <c r="B10" s="92" t="s">
        <v>694</v>
      </c>
      <c r="C10" s="782">
        <v>496800.25</v>
      </c>
      <c r="D10" s="778">
        <f>C10</f>
        <v>496800.25</v>
      </c>
      <c r="E10" s="799"/>
      <c r="F10" s="662" t="str">
        <f t="shared" si="0"/>
        <v>----</v>
      </c>
      <c r="G10" s="799"/>
      <c r="H10" s="662" t="str">
        <f t="shared" si="1"/>
        <v>----</v>
      </c>
      <c r="I10" s="798"/>
      <c r="J10" s="663" t="str">
        <f t="shared" si="2"/>
        <v>----</v>
      </c>
    </row>
    <row r="11" spans="1:10">
      <c r="A11" s="88">
        <v>45825</v>
      </c>
      <c r="B11" s="697" t="s">
        <v>883</v>
      </c>
      <c r="C11" s="784">
        <v>1126318.95</v>
      </c>
      <c r="D11" s="788">
        <f>C11</f>
        <v>1126318.95</v>
      </c>
      <c r="E11" s="795"/>
      <c r="F11" s="807" t="str">
        <f t="shared" si="0"/>
        <v>----</v>
      </c>
      <c r="G11" s="795"/>
      <c r="H11" s="807" t="str">
        <f t="shared" si="1"/>
        <v>----</v>
      </c>
      <c r="I11" s="792"/>
      <c r="J11" s="808" t="str">
        <f t="shared" si="2"/>
        <v>----</v>
      </c>
    </row>
    <row r="12" spans="1:10">
      <c r="A12" s="91"/>
      <c r="B12" s="92"/>
      <c r="C12" s="782"/>
      <c r="D12" s="797"/>
      <c r="E12" s="799"/>
      <c r="F12" s="662" t="str">
        <f t="shared" si="0"/>
        <v>----</v>
      </c>
      <c r="G12" s="799"/>
      <c r="H12" s="662" t="str">
        <f t="shared" si="1"/>
        <v>----</v>
      </c>
      <c r="I12" s="798"/>
      <c r="J12" s="663" t="str">
        <f t="shared" si="2"/>
        <v>----</v>
      </c>
    </row>
    <row r="13" spans="1:10">
      <c r="A13" s="88"/>
      <c r="B13" s="101"/>
      <c r="C13" s="784"/>
      <c r="D13" s="788"/>
      <c r="E13" s="795"/>
      <c r="F13" s="807" t="str">
        <f t="shared" si="0"/>
        <v>----</v>
      </c>
      <c r="G13" s="795"/>
      <c r="H13" s="807" t="str">
        <f t="shared" si="1"/>
        <v>----</v>
      </c>
      <c r="I13" s="792"/>
      <c r="J13" s="808" t="str">
        <f t="shared" si="2"/>
        <v>----</v>
      </c>
    </row>
    <row r="14" spans="1:10">
      <c r="A14" s="91"/>
      <c r="B14" s="92"/>
      <c r="C14" s="782"/>
      <c r="D14" s="797"/>
      <c r="E14" s="799"/>
      <c r="F14" s="662" t="str">
        <f t="shared" si="0"/>
        <v>----</v>
      </c>
      <c r="G14" s="799"/>
      <c r="H14" s="662" t="str">
        <f t="shared" si="1"/>
        <v>----</v>
      </c>
      <c r="I14" s="798"/>
      <c r="J14" s="663" t="str">
        <f t="shared" si="2"/>
        <v>----</v>
      </c>
    </row>
    <row r="15" spans="1:10">
      <c r="A15" s="88"/>
      <c r="B15" s="101"/>
      <c r="C15" s="784"/>
      <c r="D15" s="788"/>
      <c r="E15" s="795"/>
      <c r="F15" s="807" t="str">
        <f t="shared" si="0"/>
        <v>----</v>
      </c>
      <c r="G15" s="795"/>
      <c r="H15" s="807" t="str">
        <f t="shared" si="1"/>
        <v>----</v>
      </c>
      <c r="I15" s="792"/>
      <c r="J15" s="808" t="str">
        <f t="shared" si="2"/>
        <v>----</v>
      </c>
    </row>
    <row r="16" spans="1:10">
      <c r="A16" s="91"/>
      <c r="B16" s="92"/>
      <c r="C16" s="782"/>
      <c r="D16" s="797"/>
      <c r="E16" s="799"/>
      <c r="F16" s="662" t="str">
        <f t="shared" si="0"/>
        <v>----</v>
      </c>
      <c r="G16" s="799"/>
      <c r="H16" s="662" t="str">
        <f t="shared" si="1"/>
        <v>----</v>
      </c>
      <c r="I16" s="798"/>
      <c r="J16" s="663" t="str">
        <f t="shared" si="2"/>
        <v>----</v>
      </c>
    </row>
    <row r="17" spans="1:10">
      <c r="A17" s="88"/>
      <c r="B17" s="101"/>
      <c r="C17" s="784"/>
      <c r="D17" s="788"/>
      <c r="E17" s="795"/>
      <c r="F17" s="807" t="str">
        <f t="shared" si="0"/>
        <v>----</v>
      </c>
      <c r="G17" s="795"/>
      <c r="H17" s="807" t="str">
        <f t="shared" si="1"/>
        <v>----</v>
      </c>
      <c r="I17" s="792"/>
      <c r="J17" s="808" t="str">
        <f t="shared" si="2"/>
        <v>----</v>
      </c>
    </row>
    <row r="18" spans="1:10">
      <c r="A18" s="91"/>
      <c r="B18" s="92"/>
      <c r="C18" s="782"/>
      <c r="D18" s="797"/>
      <c r="E18" s="799"/>
      <c r="F18" s="662" t="str">
        <f t="shared" si="0"/>
        <v>----</v>
      </c>
      <c r="G18" s="799"/>
      <c r="H18" s="662" t="str">
        <f t="shared" si="1"/>
        <v>----</v>
      </c>
      <c r="I18" s="798"/>
      <c r="J18" s="663" t="str">
        <f t="shared" si="2"/>
        <v>----</v>
      </c>
    </row>
    <row r="19" spans="1:10">
      <c r="A19" s="88"/>
      <c r="B19" s="101"/>
      <c r="C19" s="784"/>
      <c r="D19" s="788"/>
      <c r="E19" s="795"/>
      <c r="F19" s="807" t="str">
        <f t="shared" si="0"/>
        <v>----</v>
      </c>
      <c r="G19" s="795"/>
      <c r="H19" s="807" t="str">
        <f t="shared" si="1"/>
        <v>----</v>
      </c>
      <c r="I19" s="792"/>
      <c r="J19" s="808" t="str">
        <f t="shared" si="2"/>
        <v>----</v>
      </c>
    </row>
    <row r="20" spans="1:10">
      <c r="A20" s="91"/>
      <c r="B20" s="92"/>
      <c r="C20" s="782"/>
      <c r="D20" s="797"/>
      <c r="E20" s="799"/>
      <c r="F20" s="662" t="str">
        <f t="shared" si="0"/>
        <v>----</v>
      </c>
      <c r="G20" s="799"/>
      <c r="H20" s="662" t="str">
        <f t="shared" si="1"/>
        <v>----</v>
      </c>
      <c r="I20" s="798"/>
      <c r="J20" s="663" t="str">
        <f t="shared" si="2"/>
        <v>----</v>
      </c>
    </row>
    <row r="21" spans="1:10" ht="15.75" thickBot="1">
      <c r="A21" s="74"/>
      <c r="B21" s="75"/>
      <c r="C21" s="783"/>
      <c r="D21" s="790"/>
      <c r="E21" s="796"/>
      <c r="F21" s="801" t="str">
        <f t="shared" si="0"/>
        <v>----</v>
      </c>
      <c r="G21" s="796"/>
      <c r="H21" s="801" t="str">
        <f t="shared" si="1"/>
        <v>----</v>
      </c>
      <c r="I21" s="793"/>
      <c r="J21" s="802" t="str">
        <f t="shared" si="2"/>
        <v>----</v>
      </c>
    </row>
    <row r="22" spans="1:10" ht="15.75" thickBot="1">
      <c r="A22" s="27"/>
      <c r="B22" s="27"/>
      <c r="C22" s="28"/>
      <c r="D22" s="28"/>
      <c r="E22" s="439"/>
      <c r="F22" s="441">
        <f>SUM(F4:F21)</f>
        <v>3672.7799999999115</v>
      </c>
      <c r="G22" s="439"/>
      <c r="H22" s="441">
        <f>SUM(H4:H21)</f>
        <v>-61206.15000000014</v>
      </c>
      <c r="I22" s="28"/>
      <c r="J22" s="69">
        <f>SUM(J4:J21)</f>
        <v>-1131.6800000000512</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E78F1-64D6-4FB9-87F8-5BFD32E0F1CE}">
  <dimension ref="A1:K17"/>
  <sheetViews>
    <sheetView workbookViewId="0">
      <selection activeCell="N18" sqref="N18"/>
    </sheetView>
  </sheetViews>
  <sheetFormatPr defaultRowHeight="15"/>
  <cols>
    <col min="2" max="2" width="22.7109375" bestFit="1" customWidth="1"/>
    <col min="3" max="3" width="12" bestFit="1" customWidth="1"/>
    <col min="4" max="4" width="11.7109375" customWidth="1"/>
    <col min="5" max="5" width="10.7109375" style="432" bestFit="1" customWidth="1"/>
    <col min="6" max="6" width="14.140625" style="432" customWidth="1"/>
    <col min="7" max="7" width="10.7109375" style="432" bestFit="1" customWidth="1"/>
    <col min="8" max="8" width="14.140625" style="432" customWidth="1"/>
    <col min="9" max="9" width="10.7109375" bestFit="1" customWidth="1"/>
    <col min="10" max="10" width="14.140625" customWidth="1"/>
  </cols>
  <sheetData>
    <row r="1" spans="1:11" ht="15.75" thickBot="1">
      <c r="A1" s="952" t="s">
        <v>233</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46.5" thickBot="1">
      <c r="A3" s="960"/>
      <c r="B3" s="962"/>
      <c r="C3" s="962"/>
      <c r="D3" s="974"/>
      <c r="E3" s="460" t="s">
        <v>121</v>
      </c>
      <c r="F3" s="468" t="s">
        <v>113</v>
      </c>
      <c r="G3" s="460" t="s">
        <v>121</v>
      </c>
      <c r="H3" s="468" t="s">
        <v>113</v>
      </c>
      <c r="I3" s="478" t="s">
        <v>121</v>
      </c>
      <c r="J3" s="25" t="s">
        <v>113</v>
      </c>
    </row>
    <row r="4" spans="1:11">
      <c r="A4" s="70">
        <v>43942</v>
      </c>
      <c r="B4" s="71" t="s">
        <v>239</v>
      </c>
      <c r="C4" s="72">
        <v>334806.84999999998</v>
      </c>
      <c r="D4" s="429">
        <f>C4</f>
        <v>334806.84999999998</v>
      </c>
      <c r="E4" s="469">
        <v>336518.11</v>
      </c>
      <c r="F4" s="470">
        <f t="shared" ref="F4:F16" si="0">IF(ISBLANK(E4),"----",E4-D4)</f>
        <v>1711.2600000000093</v>
      </c>
      <c r="G4" s="469" t="s">
        <v>703</v>
      </c>
      <c r="H4" s="470" t="str">
        <f t="shared" ref="H4:H16" si="1">IF(OR(G4="Complete",ISBLANK(G4)),"----",G4-$D4)</f>
        <v>----</v>
      </c>
      <c r="I4" s="479" t="s">
        <v>703</v>
      </c>
      <c r="J4" s="73" t="str">
        <f t="shared" ref="J4:J16" si="2">IF(OR(I4="Complete",ISBLANK(I4)),"----",I4-$D4)</f>
        <v>----</v>
      </c>
    </row>
    <row r="5" spans="1:11">
      <c r="A5" s="127">
        <v>44153</v>
      </c>
      <c r="B5" s="124" t="s">
        <v>338</v>
      </c>
      <c r="C5" s="129">
        <v>899601.3</v>
      </c>
      <c r="D5" s="526">
        <f>C5</f>
        <v>899601.3</v>
      </c>
      <c r="E5" s="462">
        <v>963236.39</v>
      </c>
      <c r="F5" s="582">
        <f t="shared" si="0"/>
        <v>63635.089999999967</v>
      </c>
      <c r="G5" s="462" t="s">
        <v>703</v>
      </c>
      <c r="H5" s="582" t="str">
        <f t="shared" si="1"/>
        <v>----</v>
      </c>
      <c r="I5" s="528" t="s">
        <v>703</v>
      </c>
      <c r="J5" s="126" t="str">
        <f t="shared" si="2"/>
        <v>----</v>
      </c>
    </row>
    <row r="6" spans="1:11">
      <c r="A6" s="120">
        <v>44852</v>
      </c>
      <c r="B6" s="121" t="s">
        <v>575</v>
      </c>
      <c r="C6" s="122">
        <v>632854.6</v>
      </c>
      <c r="D6" s="493">
        <f>C6</f>
        <v>632854.6</v>
      </c>
      <c r="E6" s="463"/>
      <c r="F6" s="582" t="str">
        <f t="shared" si="0"/>
        <v>----</v>
      </c>
      <c r="G6" s="463"/>
      <c r="H6" s="582" t="str">
        <f t="shared" si="1"/>
        <v>----</v>
      </c>
      <c r="I6" s="495"/>
      <c r="J6" s="126" t="str">
        <f t="shared" si="2"/>
        <v>----</v>
      </c>
    </row>
    <row r="7" spans="1:11">
      <c r="A7" s="120">
        <v>44852</v>
      </c>
      <c r="B7" s="121" t="s">
        <v>576</v>
      </c>
      <c r="C7" s="122">
        <v>1007853.3</v>
      </c>
      <c r="D7" s="493">
        <f>C7</f>
        <v>1007853.3</v>
      </c>
      <c r="E7" s="463"/>
      <c r="F7" s="582" t="str">
        <f t="shared" si="0"/>
        <v>----</v>
      </c>
      <c r="G7" s="463"/>
      <c r="H7" s="582" t="str">
        <f t="shared" si="1"/>
        <v>----</v>
      </c>
      <c r="I7" s="495"/>
      <c r="J7" s="126" t="str">
        <f t="shared" si="2"/>
        <v>----</v>
      </c>
    </row>
    <row r="8" spans="1:11">
      <c r="A8" s="120">
        <v>45433</v>
      </c>
      <c r="B8" s="121" t="s">
        <v>750</v>
      </c>
      <c r="C8" s="122">
        <f>696240.42/2</f>
        <v>348120.21</v>
      </c>
      <c r="D8" s="493">
        <f>C8</f>
        <v>348120.21</v>
      </c>
      <c r="E8" s="463"/>
      <c r="F8" s="582" t="str">
        <f t="shared" si="0"/>
        <v>----</v>
      </c>
      <c r="G8" s="463"/>
      <c r="H8" s="582" t="str">
        <f t="shared" si="1"/>
        <v>----</v>
      </c>
      <c r="I8" s="495"/>
      <c r="J8" s="126" t="str">
        <f t="shared" si="2"/>
        <v>----</v>
      </c>
      <c r="K8" t="s">
        <v>772</v>
      </c>
    </row>
    <row r="9" spans="1:11">
      <c r="A9" s="120"/>
      <c r="B9" s="121"/>
      <c r="C9" s="122"/>
      <c r="D9" s="493"/>
      <c r="E9" s="463"/>
      <c r="F9" s="582" t="str">
        <f t="shared" si="0"/>
        <v>----</v>
      </c>
      <c r="G9" s="463"/>
      <c r="H9" s="582" t="str">
        <f t="shared" si="1"/>
        <v>----</v>
      </c>
      <c r="I9" s="495"/>
      <c r="J9" s="126" t="str">
        <f t="shared" si="2"/>
        <v>----</v>
      </c>
    </row>
    <row r="10" spans="1:11">
      <c r="A10" s="120"/>
      <c r="B10" s="121"/>
      <c r="C10" s="122"/>
      <c r="D10" s="493"/>
      <c r="E10" s="463"/>
      <c r="F10" s="582" t="str">
        <f t="shared" si="0"/>
        <v>----</v>
      </c>
      <c r="G10" s="463"/>
      <c r="H10" s="582" t="str">
        <f t="shared" si="1"/>
        <v>----</v>
      </c>
      <c r="I10" s="495"/>
      <c r="J10" s="126" t="str">
        <f t="shared" si="2"/>
        <v>----</v>
      </c>
    </row>
    <row r="11" spans="1:11">
      <c r="A11" s="120"/>
      <c r="B11" s="121"/>
      <c r="C11" s="122"/>
      <c r="D11" s="493"/>
      <c r="E11" s="463"/>
      <c r="F11" s="582" t="str">
        <f t="shared" si="0"/>
        <v>----</v>
      </c>
      <c r="G11" s="463"/>
      <c r="H11" s="582" t="str">
        <f t="shared" si="1"/>
        <v>----</v>
      </c>
      <c r="I11" s="495"/>
      <c r="J11" s="126" t="str">
        <f t="shared" si="2"/>
        <v>----</v>
      </c>
    </row>
    <row r="12" spans="1:11">
      <c r="A12" s="120"/>
      <c r="B12" s="121"/>
      <c r="C12" s="122"/>
      <c r="D12" s="493"/>
      <c r="E12" s="463"/>
      <c r="F12" s="582" t="str">
        <f t="shared" si="0"/>
        <v>----</v>
      </c>
      <c r="G12" s="463"/>
      <c r="H12" s="582" t="str">
        <f t="shared" si="1"/>
        <v>----</v>
      </c>
      <c r="I12" s="495"/>
      <c r="J12" s="126" t="str">
        <f t="shared" si="2"/>
        <v>----</v>
      </c>
    </row>
    <row r="13" spans="1:11">
      <c r="A13" s="120"/>
      <c r="B13" s="121"/>
      <c r="C13" s="122"/>
      <c r="D13" s="493"/>
      <c r="E13" s="463"/>
      <c r="F13" s="582" t="str">
        <f t="shared" si="0"/>
        <v>----</v>
      </c>
      <c r="G13" s="463"/>
      <c r="H13" s="582" t="str">
        <f t="shared" si="1"/>
        <v>----</v>
      </c>
      <c r="I13" s="495"/>
      <c r="J13" s="126" t="str">
        <f t="shared" si="2"/>
        <v>----</v>
      </c>
    </row>
    <row r="14" spans="1:11">
      <c r="A14" s="120"/>
      <c r="B14" s="121"/>
      <c r="C14" s="122"/>
      <c r="D14" s="493"/>
      <c r="E14" s="463"/>
      <c r="F14" s="582" t="str">
        <f t="shared" si="0"/>
        <v>----</v>
      </c>
      <c r="G14" s="463"/>
      <c r="H14" s="582" t="str">
        <f t="shared" si="1"/>
        <v>----</v>
      </c>
      <c r="I14" s="495"/>
      <c r="J14" s="126" t="str">
        <f t="shared" si="2"/>
        <v>----</v>
      </c>
    </row>
    <row r="15" spans="1:11">
      <c r="A15" s="123"/>
      <c r="C15" s="125"/>
      <c r="D15" s="494"/>
      <c r="E15" s="464"/>
      <c r="F15" s="582" t="str">
        <f t="shared" si="0"/>
        <v>----</v>
      </c>
      <c r="G15" s="464"/>
      <c r="H15" s="582" t="str">
        <f t="shared" si="1"/>
        <v>----</v>
      </c>
      <c r="I15" s="496"/>
      <c r="J15" s="126" t="str">
        <f t="shared" si="2"/>
        <v>----</v>
      </c>
    </row>
    <row r="16" spans="1:11" ht="15.75" thickBot="1">
      <c r="A16" s="74"/>
      <c r="B16" s="75"/>
      <c r="C16" s="76"/>
      <c r="D16" s="430"/>
      <c r="E16" s="475"/>
      <c r="F16" s="476" t="str">
        <f t="shared" si="0"/>
        <v>----</v>
      </c>
      <c r="G16" s="475"/>
      <c r="H16" s="476" t="str">
        <f t="shared" si="1"/>
        <v>----</v>
      </c>
      <c r="I16" s="481"/>
      <c r="J16" s="77" t="str">
        <f t="shared" si="2"/>
        <v>----</v>
      </c>
    </row>
    <row r="17" spans="1:10" ht="15.75" thickBot="1">
      <c r="A17" s="27"/>
      <c r="B17" s="27"/>
      <c r="C17" s="28"/>
      <c r="D17" s="28"/>
      <c r="E17" s="439"/>
      <c r="F17" s="441">
        <f>SUM(F4:F16)</f>
        <v>65346.349999999977</v>
      </c>
      <c r="G17" s="439"/>
      <c r="H17" s="441">
        <f>SUM(H4:H16)</f>
        <v>0</v>
      </c>
      <c r="I17" s="28"/>
      <c r="J17" s="69">
        <f>SUM(J4:J16)</f>
        <v>0</v>
      </c>
    </row>
  </sheetData>
  <mergeCells count="8">
    <mergeCell ref="A1:J1"/>
    <mergeCell ref="I2:J2"/>
    <mergeCell ref="A2:A3"/>
    <mergeCell ref="B2:B3"/>
    <mergeCell ref="C2:C3"/>
    <mergeCell ref="D2:D3"/>
    <mergeCell ref="E2:F2"/>
    <mergeCell ref="G2:H2"/>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6B012-041B-4DF6-8C20-0A8DE9C1DFE7}">
  <dimension ref="A1:J23"/>
  <sheetViews>
    <sheetView workbookViewId="0">
      <selection activeCell="D16" sqref="D16"/>
    </sheetView>
  </sheetViews>
  <sheetFormatPr defaultRowHeight="15"/>
  <cols>
    <col min="2" max="2" width="22.85546875" bestFit="1" customWidth="1"/>
    <col min="3" max="4" width="10.7109375" bestFit="1" customWidth="1"/>
    <col min="5" max="5" width="10.7109375" style="432" bestFit="1" customWidth="1"/>
    <col min="6" max="6" width="10.85546875" style="432" customWidth="1"/>
    <col min="7" max="7" width="10.7109375" style="432" bestFit="1" customWidth="1"/>
    <col min="8" max="8" width="10.85546875" style="432" customWidth="1"/>
    <col min="9" max="9" width="10.7109375" bestFit="1" customWidth="1"/>
    <col min="10" max="10" width="10.85546875" customWidth="1"/>
  </cols>
  <sheetData>
    <row r="1" spans="1:10" ht="15.75" thickBot="1">
      <c r="A1" s="952" t="s">
        <v>155</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57.75" thickBot="1">
      <c r="A3" s="960"/>
      <c r="B3" s="962"/>
      <c r="C3" s="962"/>
      <c r="D3" s="974"/>
      <c r="E3" s="460" t="s">
        <v>121</v>
      </c>
      <c r="F3" s="468" t="s">
        <v>113</v>
      </c>
      <c r="G3" s="460" t="s">
        <v>121</v>
      </c>
      <c r="H3" s="468" t="s">
        <v>113</v>
      </c>
      <c r="I3" s="478" t="s">
        <v>121</v>
      </c>
      <c r="J3" s="25" t="s">
        <v>113</v>
      </c>
    </row>
    <row r="4" spans="1:10">
      <c r="A4" s="70">
        <v>43816</v>
      </c>
      <c r="B4" s="71" t="s">
        <v>166</v>
      </c>
      <c r="C4" s="781">
        <v>211384.46</v>
      </c>
      <c r="D4" s="787">
        <f t="shared" ref="D4:D9" si="0">C4</f>
        <v>211384.46</v>
      </c>
      <c r="E4" s="794">
        <v>210384.36</v>
      </c>
      <c r="F4" s="803">
        <f t="shared" ref="F4:F22" si="1">IF(ISBLANK(E4),"----",E4-D4)</f>
        <v>-1000.1000000000058</v>
      </c>
      <c r="G4" s="794" t="s">
        <v>703</v>
      </c>
      <c r="H4" s="803" t="str">
        <f t="shared" ref="H4:H22" si="2">IF(OR(G4="Complete",ISBLANK(G4)),"----",G4-$D4)</f>
        <v>----</v>
      </c>
      <c r="I4" s="791" t="s">
        <v>703</v>
      </c>
      <c r="J4" s="804" t="str">
        <f t="shared" ref="J4:J22" si="3">IF(OR(I4="Complete",ISBLANK(I4)),"----",I4-$D4)</f>
        <v>----</v>
      </c>
    </row>
    <row r="5" spans="1:10">
      <c r="A5" s="91">
        <v>44033</v>
      </c>
      <c r="B5" s="92" t="s">
        <v>298</v>
      </c>
      <c r="C5" s="782">
        <v>108568.5</v>
      </c>
      <c r="D5" s="797">
        <f t="shared" si="0"/>
        <v>108568.5</v>
      </c>
      <c r="E5" s="799">
        <v>113572.5</v>
      </c>
      <c r="F5" s="807">
        <f t="shared" si="1"/>
        <v>5004</v>
      </c>
      <c r="G5" s="799" t="s">
        <v>703</v>
      </c>
      <c r="H5" s="807" t="str">
        <f t="shared" si="2"/>
        <v>----</v>
      </c>
      <c r="I5" s="798" t="s">
        <v>703</v>
      </c>
      <c r="J5" s="808" t="str">
        <f t="shared" si="3"/>
        <v>----</v>
      </c>
    </row>
    <row r="6" spans="1:10">
      <c r="A6" s="130">
        <v>44089</v>
      </c>
      <c r="B6" s="226" t="s">
        <v>306</v>
      </c>
      <c r="C6" s="818">
        <v>437080.98</v>
      </c>
      <c r="D6" s="819">
        <f t="shared" si="0"/>
        <v>437080.98</v>
      </c>
      <c r="E6" s="820">
        <v>438052.58</v>
      </c>
      <c r="F6" s="662">
        <f t="shared" si="1"/>
        <v>971.60000000003492</v>
      </c>
      <c r="G6" s="820" t="s">
        <v>703</v>
      </c>
      <c r="H6" s="662" t="str">
        <f t="shared" si="2"/>
        <v>----</v>
      </c>
      <c r="I6" s="821" t="s">
        <v>703</v>
      </c>
      <c r="J6" s="663" t="str">
        <f t="shared" si="3"/>
        <v>----</v>
      </c>
    </row>
    <row r="7" spans="1:10">
      <c r="A7" s="102">
        <v>44488</v>
      </c>
      <c r="B7" s="103" t="s">
        <v>462</v>
      </c>
      <c r="C7" s="770">
        <v>246879.7</v>
      </c>
      <c r="D7" s="729">
        <f t="shared" si="0"/>
        <v>246879.7</v>
      </c>
      <c r="E7" s="739">
        <v>257480.68</v>
      </c>
      <c r="F7" s="771">
        <f t="shared" si="1"/>
        <v>10600.979999999981</v>
      </c>
      <c r="G7" s="739" t="s">
        <v>703</v>
      </c>
      <c r="H7" s="771" t="str">
        <f t="shared" si="2"/>
        <v>----</v>
      </c>
      <c r="I7" s="734" t="s">
        <v>703</v>
      </c>
      <c r="J7" s="772" t="str">
        <f t="shared" si="3"/>
        <v>----</v>
      </c>
    </row>
    <row r="8" spans="1:10">
      <c r="A8" s="102">
        <v>44516</v>
      </c>
      <c r="B8" s="103" t="s">
        <v>469</v>
      </c>
      <c r="C8" s="770">
        <v>372376.2</v>
      </c>
      <c r="D8" s="729">
        <f t="shared" si="0"/>
        <v>372376.2</v>
      </c>
      <c r="E8" s="739"/>
      <c r="F8" s="771" t="str">
        <f t="shared" si="1"/>
        <v>----</v>
      </c>
      <c r="G8" s="739">
        <v>419686.28</v>
      </c>
      <c r="H8" s="771">
        <f t="shared" si="2"/>
        <v>47310.080000000016</v>
      </c>
      <c r="I8" s="734" t="s">
        <v>703</v>
      </c>
      <c r="J8" s="772" t="str">
        <f t="shared" si="3"/>
        <v>----</v>
      </c>
    </row>
    <row r="9" spans="1:10">
      <c r="A9" s="102">
        <v>44607</v>
      </c>
      <c r="B9" s="103" t="s">
        <v>507</v>
      </c>
      <c r="C9" s="770">
        <v>455896.06</v>
      </c>
      <c r="D9" s="729">
        <f t="shared" si="0"/>
        <v>455896.06</v>
      </c>
      <c r="E9" s="739">
        <v>487548.85</v>
      </c>
      <c r="F9" s="771">
        <f t="shared" si="1"/>
        <v>31652.789999999979</v>
      </c>
      <c r="G9" s="739" t="s">
        <v>703</v>
      </c>
      <c r="H9" s="771" t="str">
        <f t="shared" si="2"/>
        <v>----</v>
      </c>
      <c r="I9" s="734" t="s">
        <v>703</v>
      </c>
      <c r="J9" s="772" t="str">
        <f t="shared" si="3"/>
        <v>----</v>
      </c>
    </row>
    <row r="10" spans="1:10">
      <c r="A10" s="102">
        <v>44880</v>
      </c>
      <c r="B10" s="103" t="s">
        <v>597</v>
      </c>
      <c r="C10" s="770">
        <v>246472.51</v>
      </c>
      <c r="D10" s="729">
        <f t="shared" ref="D10:D15" si="4">C10</f>
        <v>246472.51</v>
      </c>
      <c r="E10" s="739"/>
      <c r="F10" s="771" t="str">
        <f t="shared" si="1"/>
        <v>----</v>
      </c>
      <c r="G10" s="739">
        <v>242783.91</v>
      </c>
      <c r="H10" s="771">
        <f t="shared" si="2"/>
        <v>-3688.6000000000058</v>
      </c>
      <c r="I10" s="734" t="s">
        <v>703</v>
      </c>
      <c r="J10" s="772" t="str">
        <f t="shared" si="3"/>
        <v>----</v>
      </c>
    </row>
    <row r="11" spans="1:10">
      <c r="A11" s="102">
        <v>45097</v>
      </c>
      <c r="B11" s="103" t="s">
        <v>653</v>
      </c>
      <c r="C11" s="770">
        <v>163770.54999999999</v>
      </c>
      <c r="D11" s="729">
        <f t="shared" si="4"/>
        <v>163770.54999999999</v>
      </c>
      <c r="E11" s="739"/>
      <c r="F11" s="771" t="str">
        <f t="shared" si="1"/>
        <v>----</v>
      </c>
      <c r="G11" s="739">
        <v>165031.85999999999</v>
      </c>
      <c r="H11" s="771">
        <f t="shared" si="2"/>
        <v>1261.3099999999977</v>
      </c>
      <c r="I11" s="734" t="s">
        <v>703</v>
      </c>
      <c r="J11" s="772" t="str">
        <f t="shared" si="3"/>
        <v>----</v>
      </c>
    </row>
    <row r="12" spans="1:10">
      <c r="A12" s="395">
        <v>45251</v>
      </c>
      <c r="B12" s="396" t="s">
        <v>677</v>
      </c>
      <c r="C12" s="770">
        <v>387873.68</v>
      </c>
      <c r="D12" s="729">
        <f t="shared" si="4"/>
        <v>387873.68</v>
      </c>
      <c r="E12" s="739"/>
      <c r="F12" s="771" t="str">
        <f t="shared" si="1"/>
        <v>----</v>
      </c>
      <c r="G12" s="739"/>
      <c r="H12" s="771" t="str">
        <f t="shared" si="2"/>
        <v>----</v>
      </c>
      <c r="I12" s="734"/>
      <c r="J12" s="772" t="str">
        <f t="shared" si="3"/>
        <v>----</v>
      </c>
    </row>
    <row r="13" spans="1:10">
      <c r="A13" s="102">
        <v>45308</v>
      </c>
      <c r="B13" s="103" t="s">
        <v>710</v>
      </c>
      <c r="C13" s="770">
        <v>297403.71999999997</v>
      </c>
      <c r="D13" s="729">
        <f t="shared" si="4"/>
        <v>297403.71999999997</v>
      </c>
      <c r="E13" s="739"/>
      <c r="F13" s="771" t="str">
        <f t="shared" si="1"/>
        <v>----</v>
      </c>
      <c r="G13" s="739"/>
      <c r="H13" s="771" t="str">
        <f t="shared" si="2"/>
        <v>----</v>
      </c>
      <c r="I13" s="734"/>
      <c r="J13" s="772" t="str">
        <f t="shared" si="3"/>
        <v>----</v>
      </c>
    </row>
    <row r="14" spans="1:10">
      <c r="A14" s="102">
        <v>45706</v>
      </c>
      <c r="B14" s="721" t="s">
        <v>847</v>
      </c>
      <c r="C14" s="770">
        <v>562681.78</v>
      </c>
      <c r="D14" s="729">
        <f t="shared" si="4"/>
        <v>562681.78</v>
      </c>
      <c r="E14" s="739"/>
      <c r="F14" s="771" t="str">
        <f t="shared" si="1"/>
        <v>----</v>
      </c>
      <c r="G14" s="739"/>
      <c r="H14" s="771" t="str">
        <f t="shared" si="2"/>
        <v>----</v>
      </c>
      <c r="I14" s="734"/>
      <c r="J14" s="772" t="str">
        <f t="shared" si="3"/>
        <v>----</v>
      </c>
    </row>
    <row r="15" spans="1:10">
      <c r="A15" s="102">
        <v>45888</v>
      </c>
      <c r="B15" s="721" t="s">
        <v>896</v>
      </c>
      <c r="C15" s="770">
        <v>2297799.39</v>
      </c>
      <c r="D15" s="729">
        <f t="shared" si="4"/>
        <v>2297799.39</v>
      </c>
      <c r="E15" s="739"/>
      <c r="F15" s="771" t="str">
        <f t="shared" si="1"/>
        <v>----</v>
      </c>
      <c r="G15" s="739"/>
      <c r="H15" s="771" t="str">
        <f t="shared" si="2"/>
        <v>----</v>
      </c>
      <c r="I15" s="734"/>
      <c r="J15" s="772" t="str">
        <f t="shared" si="3"/>
        <v>----</v>
      </c>
    </row>
    <row r="16" spans="1:10">
      <c r="A16" s="102"/>
      <c r="B16" s="103"/>
      <c r="C16" s="770"/>
      <c r="D16" s="729"/>
      <c r="E16" s="739"/>
      <c r="F16" s="771" t="str">
        <f t="shared" si="1"/>
        <v>----</v>
      </c>
      <c r="G16" s="739"/>
      <c r="H16" s="771" t="str">
        <f t="shared" si="2"/>
        <v>----</v>
      </c>
      <c r="I16" s="734"/>
      <c r="J16" s="772" t="str">
        <f t="shared" si="3"/>
        <v>----</v>
      </c>
    </row>
    <row r="17" spans="1:10">
      <c r="A17" s="102"/>
      <c r="B17" s="103"/>
      <c r="C17" s="770"/>
      <c r="D17" s="729"/>
      <c r="E17" s="739"/>
      <c r="F17" s="771" t="str">
        <f t="shared" si="1"/>
        <v>----</v>
      </c>
      <c r="G17" s="739"/>
      <c r="H17" s="771" t="str">
        <f t="shared" si="2"/>
        <v>----</v>
      </c>
      <c r="I17" s="734"/>
      <c r="J17" s="772" t="str">
        <f t="shared" si="3"/>
        <v>----</v>
      </c>
    </row>
    <row r="18" spans="1:10">
      <c r="A18" s="102"/>
      <c r="B18" s="103"/>
      <c r="C18" s="770"/>
      <c r="D18" s="729"/>
      <c r="E18" s="739"/>
      <c r="F18" s="771" t="str">
        <f t="shared" si="1"/>
        <v>----</v>
      </c>
      <c r="G18" s="739"/>
      <c r="H18" s="771" t="str">
        <f t="shared" si="2"/>
        <v>----</v>
      </c>
      <c r="I18" s="734"/>
      <c r="J18" s="772" t="str">
        <f t="shared" si="3"/>
        <v>----</v>
      </c>
    </row>
    <row r="19" spans="1:10">
      <c r="A19" s="102"/>
      <c r="B19" s="103"/>
      <c r="C19" s="770"/>
      <c r="D19" s="729"/>
      <c r="E19" s="739"/>
      <c r="F19" s="771" t="str">
        <f t="shared" si="1"/>
        <v>----</v>
      </c>
      <c r="G19" s="739"/>
      <c r="H19" s="771" t="str">
        <f t="shared" si="2"/>
        <v>----</v>
      </c>
      <c r="I19" s="734"/>
      <c r="J19" s="772" t="str">
        <f t="shared" si="3"/>
        <v>----</v>
      </c>
    </row>
    <row r="20" spans="1:10">
      <c r="A20" s="102"/>
      <c r="B20" s="103"/>
      <c r="C20" s="770"/>
      <c r="D20" s="729"/>
      <c r="E20" s="739"/>
      <c r="F20" s="771" t="str">
        <f t="shared" si="1"/>
        <v>----</v>
      </c>
      <c r="G20" s="739"/>
      <c r="H20" s="771" t="str">
        <f t="shared" si="2"/>
        <v>----</v>
      </c>
      <c r="I20" s="734"/>
      <c r="J20" s="772" t="str">
        <f t="shared" si="3"/>
        <v>----</v>
      </c>
    </row>
    <row r="21" spans="1:10">
      <c r="A21" s="116"/>
      <c r="B21" s="117"/>
      <c r="C21" s="773"/>
      <c r="D21" s="789"/>
      <c r="E21" s="740"/>
      <c r="F21" s="774" t="str">
        <f t="shared" si="1"/>
        <v>----</v>
      </c>
      <c r="G21" s="740"/>
      <c r="H21" s="774" t="str">
        <f t="shared" si="2"/>
        <v>----</v>
      </c>
      <c r="I21" s="735"/>
      <c r="J21" s="775" t="str">
        <f t="shared" si="3"/>
        <v>----</v>
      </c>
    </row>
    <row r="22" spans="1:10" ht="15.75" thickBot="1">
      <c r="A22" s="74"/>
      <c r="B22" s="75"/>
      <c r="C22" s="783"/>
      <c r="D22" s="790"/>
      <c r="E22" s="796"/>
      <c r="F22" s="801" t="str">
        <f t="shared" si="1"/>
        <v>----</v>
      </c>
      <c r="G22" s="796"/>
      <c r="H22" s="801" t="str">
        <f t="shared" si="2"/>
        <v>----</v>
      </c>
      <c r="I22" s="793"/>
      <c r="J22" s="802" t="str">
        <f t="shared" si="3"/>
        <v>----</v>
      </c>
    </row>
    <row r="23" spans="1:10" ht="15.75" thickBot="1">
      <c r="A23" s="27"/>
      <c r="B23" s="27"/>
      <c r="C23" s="814"/>
      <c r="D23" s="814"/>
      <c r="E23" s="814"/>
      <c r="F23" s="815">
        <f>SUM(F4:F22)</f>
        <v>47229.26999999999</v>
      </c>
      <c r="G23" s="814"/>
      <c r="H23" s="815">
        <f>SUM(H4:H22)</f>
        <v>44882.790000000008</v>
      </c>
      <c r="I23" s="814"/>
      <c r="J23" s="815">
        <f>SUM(J4:J22)</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E7450-CAB5-4D64-A685-1019E2EDCC9C}">
  <dimension ref="A1:K18"/>
  <sheetViews>
    <sheetView workbookViewId="0">
      <selection activeCell="M25" sqref="M25"/>
    </sheetView>
  </sheetViews>
  <sheetFormatPr defaultRowHeight="15"/>
  <cols>
    <col min="2" max="2" width="24.85546875" bestFit="1" customWidth="1"/>
    <col min="3" max="3" width="12.5703125" bestFit="1" customWidth="1"/>
    <col min="4" max="4" width="13.140625" customWidth="1"/>
    <col min="5" max="5" width="10.7109375" style="432" bestFit="1" customWidth="1"/>
    <col min="6" max="6" width="13.140625" style="432" customWidth="1"/>
    <col min="7" max="7" width="10.7109375" style="432" bestFit="1" customWidth="1"/>
    <col min="8" max="8" width="13.140625" style="432" customWidth="1"/>
    <col min="9" max="9" width="10.7109375" bestFit="1" customWidth="1"/>
    <col min="10" max="10" width="13.140625" customWidth="1"/>
  </cols>
  <sheetData>
    <row r="1" spans="1:11" ht="15.75" thickBot="1">
      <c r="A1" s="952" t="s">
        <v>234</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46.5" thickBot="1">
      <c r="A3" s="960"/>
      <c r="B3" s="962"/>
      <c r="C3" s="962"/>
      <c r="D3" s="974"/>
      <c r="E3" s="460" t="s">
        <v>121</v>
      </c>
      <c r="F3" s="468" t="s">
        <v>113</v>
      </c>
      <c r="G3" s="460" t="s">
        <v>121</v>
      </c>
      <c r="H3" s="468" t="s">
        <v>113</v>
      </c>
      <c r="I3" s="478" t="s">
        <v>121</v>
      </c>
      <c r="J3" s="25" t="s">
        <v>113</v>
      </c>
    </row>
    <row r="4" spans="1:11">
      <c r="A4" s="70">
        <v>43942</v>
      </c>
      <c r="B4" s="71" t="s">
        <v>237</v>
      </c>
      <c r="C4" s="72">
        <v>544795.73</v>
      </c>
      <c r="D4" s="429">
        <v>353625.73</v>
      </c>
      <c r="E4" s="469">
        <v>384267.16</v>
      </c>
      <c r="F4" s="470">
        <f t="shared" ref="F4:F17" si="0">IF(ISBLANK(E4),"----",E4-D4)</f>
        <v>30641.429999999993</v>
      </c>
      <c r="G4" s="469" t="s">
        <v>703</v>
      </c>
      <c r="H4" s="470" t="str">
        <f t="shared" ref="H4:H17" si="1">IF(OR(G4="Complete",ISBLANK(G4)),"----",G4-$D4)</f>
        <v>----</v>
      </c>
      <c r="I4" s="479" t="s">
        <v>703</v>
      </c>
      <c r="J4" s="73" t="str">
        <f t="shared" ref="J4:J17" si="2">IF(OR(I4="Complete",ISBLANK(I4)),"----",I4-$D4)</f>
        <v>----</v>
      </c>
      <c r="K4" t="s">
        <v>220</v>
      </c>
    </row>
    <row r="5" spans="1:11">
      <c r="A5" s="91">
        <v>43942</v>
      </c>
      <c r="B5" s="92" t="s">
        <v>238</v>
      </c>
      <c r="C5" s="84">
        <v>442371.11</v>
      </c>
      <c r="D5" s="477">
        <v>230367.62</v>
      </c>
      <c r="E5" s="482">
        <v>241534.22</v>
      </c>
      <c r="F5" s="521">
        <f t="shared" si="0"/>
        <v>11166.600000000006</v>
      </c>
      <c r="G5" s="482" t="s">
        <v>703</v>
      </c>
      <c r="H5" s="521" t="str">
        <f t="shared" si="1"/>
        <v>----</v>
      </c>
      <c r="I5" s="480" t="s">
        <v>703</v>
      </c>
      <c r="J5" s="140" t="str">
        <f t="shared" si="2"/>
        <v>----</v>
      </c>
      <c r="K5" t="s">
        <v>220</v>
      </c>
    </row>
    <row r="6" spans="1:11">
      <c r="A6" s="970">
        <v>44089</v>
      </c>
      <c r="B6" s="103" t="s">
        <v>579</v>
      </c>
      <c r="C6" s="87">
        <v>635224.61</v>
      </c>
      <c r="D6" s="466">
        <v>389434.61</v>
      </c>
      <c r="E6" s="473">
        <v>391016.05</v>
      </c>
      <c r="F6" s="521">
        <f t="shared" si="0"/>
        <v>1581.4400000000023</v>
      </c>
      <c r="G6" s="473" t="s">
        <v>703</v>
      </c>
      <c r="H6" s="521" t="str">
        <f t="shared" si="1"/>
        <v>----</v>
      </c>
      <c r="I6" s="486" t="s">
        <v>703</v>
      </c>
      <c r="J6" s="140" t="str">
        <f t="shared" si="2"/>
        <v>----</v>
      </c>
      <c r="K6" t="s">
        <v>220</v>
      </c>
    </row>
    <row r="7" spans="1:11">
      <c r="A7" s="972"/>
      <c r="B7" s="103" t="s">
        <v>580</v>
      </c>
      <c r="C7" s="87">
        <v>474197.12</v>
      </c>
      <c r="D7" s="466">
        <v>290141.02</v>
      </c>
      <c r="E7" s="473">
        <v>283181.40999999997</v>
      </c>
      <c r="F7" s="521">
        <f t="shared" si="0"/>
        <v>-6959.6100000000442</v>
      </c>
      <c r="G7" s="473" t="s">
        <v>703</v>
      </c>
      <c r="H7" s="521" t="str">
        <f t="shared" si="1"/>
        <v>----</v>
      </c>
      <c r="I7" s="486" t="s">
        <v>703</v>
      </c>
      <c r="J7" s="140" t="str">
        <f t="shared" si="2"/>
        <v>----</v>
      </c>
      <c r="K7" t="s">
        <v>220</v>
      </c>
    </row>
    <row r="8" spans="1:11">
      <c r="A8" s="102">
        <v>45308</v>
      </c>
      <c r="B8" s="103" t="s">
        <v>715</v>
      </c>
      <c r="C8" s="87">
        <f>2961328.63-1/2*(2961328.63-500000-1500000)</f>
        <v>2480664.3149999999</v>
      </c>
      <c r="D8" s="466">
        <f>(2961328.63-500000-1500000)*1/2</f>
        <v>480664.31499999994</v>
      </c>
      <c r="E8" s="473"/>
      <c r="F8" s="521" t="str">
        <f t="shared" si="0"/>
        <v>----</v>
      </c>
      <c r="G8" s="473"/>
      <c r="H8" s="521" t="str">
        <f t="shared" si="1"/>
        <v>----</v>
      </c>
      <c r="I8" s="486"/>
      <c r="J8" s="140" t="str">
        <f t="shared" si="2"/>
        <v>----</v>
      </c>
      <c r="K8" t="s">
        <v>722</v>
      </c>
    </row>
    <row r="9" spans="1:11">
      <c r="A9" s="102"/>
      <c r="B9" s="103"/>
      <c r="C9" s="87"/>
      <c r="D9" s="466"/>
      <c r="E9" s="473"/>
      <c r="F9" s="521" t="str">
        <f t="shared" si="0"/>
        <v>----</v>
      </c>
      <c r="G9" s="473"/>
      <c r="H9" s="521" t="str">
        <f t="shared" si="1"/>
        <v>----</v>
      </c>
      <c r="I9" s="486"/>
      <c r="J9" s="140" t="str">
        <f t="shared" si="2"/>
        <v>----</v>
      </c>
    </row>
    <row r="10" spans="1:11">
      <c r="A10" s="102"/>
      <c r="B10" s="103"/>
      <c r="C10" s="87"/>
      <c r="D10" s="466"/>
      <c r="E10" s="473"/>
      <c r="F10" s="521" t="str">
        <f t="shared" si="0"/>
        <v>----</v>
      </c>
      <c r="G10" s="473"/>
      <c r="H10" s="521" t="str">
        <f t="shared" si="1"/>
        <v>----</v>
      </c>
      <c r="I10" s="486"/>
      <c r="J10" s="140" t="str">
        <f t="shared" si="2"/>
        <v>----</v>
      </c>
    </row>
    <row r="11" spans="1:11">
      <c r="A11" s="102"/>
      <c r="B11" s="103"/>
      <c r="C11" s="87"/>
      <c r="D11" s="466"/>
      <c r="E11" s="473"/>
      <c r="F11" s="521" t="str">
        <f t="shared" si="0"/>
        <v>----</v>
      </c>
      <c r="G11" s="473"/>
      <c r="H11" s="521" t="str">
        <f t="shared" si="1"/>
        <v>----</v>
      </c>
      <c r="I11" s="486"/>
      <c r="J11" s="140" t="str">
        <f t="shared" si="2"/>
        <v>----</v>
      </c>
    </row>
    <row r="12" spans="1:11">
      <c r="A12" s="102"/>
      <c r="B12" s="103"/>
      <c r="C12" s="87"/>
      <c r="D12" s="466"/>
      <c r="E12" s="473"/>
      <c r="F12" s="521" t="str">
        <f t="shared" si="0"/>
        <v>----</v>
      </c>
      <c r="G12" s="473"/>
      <c r="H12" s="521" t="str">
        <f t="shared" si="1"/>
        <v>----</v>
      </c>
      <c r="I12" s="486"/>
      <c r="J12" s="140" t="str">
        <f t="shared" si="2"/>
        <v>----</v>
      </c>
    </row>
    <row r="13" spans="1:11">
      <c r="A13" s="102"/>
      <c r="B13" s="103"/>
      <c r="C13" s="87"/>
      <c r="D13" s="466"/>
      <c r="E13" s="473"/>
      <c r="F13" s="521" t="str">
        <f t="shared" si="0"/>
        <v>----</v>
      </c>
      <c r="G13" s="473"/>
      <c r="H13" s="521" t="str">
        <f t="shared" si="1"/>
        <v>----</v>
      </c>
      <c r="I13" s="486"/>
      <c r="J13" s="140" t="str">
        <f t="shared" si="2"/>
        <v>----</v>
      </c>
    </row>
    <row r="14" spans="1:11">
      <c r="A14" s="102"/>
      <c r="B14" s="103"/>
      <c r="C14" s="87"/>
      <c r="D14" s="466"/>
      <c r="E14" s="473"/>
      <c r="F14" s="521" t="str">
        <f t="shared" si="0"/>
        <v>----</v>
      </c>
      <c r="G14" s="473"/>
      <c r="H14" s="521" t="str">
        <f t="shared" si="1"/>
        <v>----</v>
      </c>
      <c r="I14" s="486"/>
      <c r="J14" s="140" t="str">
        <f t="shared" si="2"/>
        <v>----</v>
      </c>
    </row>
    <row r="15" spans="1:11">
      <c r="A15" s="102"/>
      <c r="B15" s="103"/>
      <c r="C15" s="87"/>
      <c r="D15" s="466"/>
      <c r="E15" s="473"/>
      <c r="F15" s="521" t="str">
        <f t="shared" si="0"/>
        <v>----</v>
      </c>
      <c r="G15" s="473"/>
      <c r="H15" s="521" t="str">
        <f t="shared" si="1"/>
        <v>----</v>
      </c>
      <c r="I15" s="486"/>
      <c r="J15" s="140" t="str">
        <f t="shared" si="2"/>
        <v>----</v>
      </c>
    </row>
    <row r="16" spans="1:11">
      <c r="A16" s="116"/>
      <c r="B16" s="117"/>
      <c r="C16" s="118"/>
      <c r="D16" s="467"/>
      <c r="E16" s="474"/>
      <c r="F16" s="521" t="str">
        <f t="shared" si="0"/>
        <v>----</v>
      </c>
      <c r="G16" s="474"/>
      <c r="H16" s="521" t="str">
        <f t="shared" si="1"/>
        <v>----</v>
      </c>
      <c r="I16" s="488"/>
      <c r="J16" s="140" t="str">
        <f t="shared" si="2"/>
        <v>----</v>
      </c>
    </row>
    <row r="17" spans="1:10" ht="15.75" thickBot="1">
      <c r="A17" s="74"/>
      <c r="B17" s="75"/>
      <c r="C17" s="76"/>
      <c r="D17" s="430"/>
      <c r="E17" s="475"/>
      <c r="F17" s="476" t="str">
        <f t="shared" si="0"/>
        <v>----</v>
      </c>
      <c r="G17" s="475"/>
      <c r="H17" s="476" t="str">
        <f t="shared" si="1"/>
        <v>----</v>
      </c>
      <c r="I17" s="481"/>
      <c r="J17" s="77" t="str">
        <f t="shared" si="2"/>
        <v>----</v>
      </c>
    </row>
    <row r="18" spans="1:10" ht="15.75" thickBot="1">
      <c r="A18" s="27"/>
      <c r="B18" s="27"/>
      <c r="C18" s="28"/>
      <c r="D18" s="28"/>
      <c r="E18" s="439"/>
      <c r="F18" s="441">
        <f>SUM(F4:F17)</f>
        <v>36429.859999999957</v>
      </c>
      <c r="G18" s="439"/>
      <c r="H18" s="441">
        <f>SUM(H4:H17)</f>
        <v>0</v>
      </c>
      <c r="I18" s="28"/>
      <c r="J18" s="69">
        <f>SUM(J4:J17)</f>
        <v>0</v>
      </c>
    </row>
  </sheetData>
  <mergeCells count="9">
    <mergeCell ref="A1:J1"/>
    <mergeCell ref="A6:A7"/>
    <mergeCell ref="I2:J2"/>
    <mergeCell ref="E2:F2"/>
    <mergeCell ref="A2:A3"/>
    <mergeCell ref="B2:B3"/>
    <mergeCell ref="C2:C3"/>
    <mergeCell ref="D2:D3"/>
    <mergeCell ref="G2:H2"/>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2882-CB1B-4FAB-83D8-794BC1AF0619}">
  <dimension ref="A1:J13"/>
  <sheetViews>
    <sheetView workbookViewId="0">
      <selection activeCell="M13" sqref="M13"/>
    </sheetView>
  </sheetViews>
  <sheetFormatPr defaultRowHeight="15"/>
  <cols>
    <col min="2" max="2" width="19.7109375" bestFit="1" customWidth="1"/>
    <col min="3" max="4" width="10.7109375" bestFit="1" customWidth="1"/>
    <col min="5" max="5" width="10.7109375" style="432" bestFit="1" customWidth="1"/>
    <col min="6" max="6" width="9.85546875" style="432" bestFit="1" customWidth="1"/>
    <col min="7" max="7" width="10.7109375" style="432" bestFit="1" customWidth="1"/>
    <col min="8" max="8" width="9.85546875" style="432" bestFit="1" customWidth="1"/>
    <col min="9" max="9" width="10.7109375" bestFit="1" customWidth="1"/>
    <col min="10" max="10" width="9.85546875" bestFit="1" customWidth="1"/>
  </cols>
  <sheetData>
    <row r="1" spans="1:10" ht="15.75" thickBot="1">
      <c r="A1" s="952" t="s">
        <v>127</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57.75" thickBot="1">
      <c r="A3" s="960"/>
      <c r="B3" s="962"/>
      <c r="C3" s="962"/>
      <c r="D3" s="974"/>
      <c r="E3" s="460" t="s">
        <v>121</v>
      </c>
      <c r="F3" s="468" t="s">
        <v>113</v>
      </c>
      <c r="G3" s="460" t="s">
        <v>121</v>
      </c>
      <c r="H3" s="468" t="s">
        <v>113</v>
      </c>
      <c r="I3" s="478" t="s">
        <v>121</v>
      </c>
      <c r="J3" s="25" t="s">
        <v>113</v>
      </c>
    </row>
    <row r="4" spans="1:10">
      <c r="A4" s="70">
        <v>43970</v>
      </c>
      <c r="B4" s="71" t="s">
        <v>117</v>
      </c>
      <c r="C4" s="72">
        <v>481614.8</v>
      </c>
      <c r="D4" s="429">
        <v>290444.79999999999</v>
      </c>
      <c r="E4" s="469">
        <v>293377.2</v>
      </c>
      <c r="F4" s="470">
        <f>IF(ISBLANK(E4),"----",E4-D4)</f>
        <v>2932.4000000000233</v>
      </c>
      <c r="G4" s="469" t="s">
        <v>703</v>
      </c>
      <c r="H4" s="470" t="str">
        <f>IF(OR(G4="Complete",ISBLANK(G4)),"----",G4-$D4)</f>
        <v>----</v>
      </c>
      <c r="I4" s="479" t="s">
        <v>703</v>
      </c>
      <c r="J4" s="73" t="str">
        <f>IF(OR(I4="Complete",ISBLANK(I4)),"----",I4-$D4)</f>
        <v>----</v>
      </c>
    </row>
    <row r="5" spans="1:10">
      <c r="A5" s="88">
        <v>43970</v>
      </c>
      <c r="B5" s="81" t="s">
        <v>118</v>
      </c>
      <c r="C5" s="82">
        <v>228175.5</v>
      </c>
      <c r="D5" s="431">
        <v>118935.5</v>
      </c>
      <c r="E5" s="471">
        <v>127172.93</v>
      </c>
      <c r="F5" s="472">
        <f>IF(ISBLANK(E5),"----",E5-D5)</f>
        <v>8237.429999999993</v>
      </c>
      <c r="G5" s="471" t="s">
        <v>703</v>
      </c>
      <c r="H5" s="472" t="str">
        <f>IF(OR(G5="Complete",ISBLANK(G5)),"----",G5-$D5)</f>
        <v>----</v>
      </c>
      <c r="I5" s="484" t="s">
        <v>703</v>
      </c>
      <c r="J5" s="83" t="str">
        <f>IF(OR(I5="Complete",ISBLANK(I5)),"----",I5-$D5)</f>
        <v>----</v>
      </c>
    </row>
    <row r="6" spans="1:10" s="432" customFormat="1">
      <c r="A6" s="89"/>
      <c r="B6" s="86"/>
      <c r="C6" s="446"/>
      <c r="D6" s="466"/>
      <c r="E6" s="473"/>
      <c r="F6" s="472" t="str">
        <f t="shared" ref="F6:F10" si="0">IF(ISBLANK(E6),"----",E6-D6)</f>
        <v>----</v>
      </c>
      <c r="G6" s="473"/>
      <c r="H6" s="472" t="str">
        <f t="shared" ref="H6:J10" si="1">IF(OR(G6="Complete",ISBLANK(G6)),"----",G6-$D6)</f>
        <v>----</v>
      </c>
      <c r="I6" s="486"/>
      <c r="J6" s="445" t="str">
        <f t="shared" si="1"/>
        <v>----</v>
      </c>
    </row>
    <row r="7" spans="1:10" s="432" customFormat="1">
      <c r="A7" s="89"/>
      <c r="B7" s="86"/>
      <c r="C7" s="446"/>
      <c r="D7" s="466"/>
      <c r="E7" s="473"/>
      <c r="F7" s="472" t="str">
        <f t="shared" si="0"/>
        <v>----</v>
      </c>
      <c r="G7" s="473"/>
      <c r="H7" s="472" t="str">
        <f t="shared" si="1"/>
        <v>----</v>
      </c>
      <c r="I7" s="486"/>
      <c r="J7" s="445" t="str">
        <f t="shared" si="1"/>
        <v>----</v>
      </c>
    </row>
    <row r="8" spans="1:10" s="432" customFormat="1">
      <c r="A8" s="89"/>
      <c r="B8" s="86"/>
      <c r="C8" s="446"/>
      <c r="D8" s="466"/>
      <c r="E8" s="473"/>
      <c r="F8" s="472" t="str">
        <f t="shared" si="0"/>
        <v>----</v>
      </c>
      <c r="G8" s="473"/>
      <c r="H8" s="472" t="str">
        <f t="shared" si="1"/>
        <v>----</v>
      </c>
      <c r="I8" s="486"/>
      <c r="J8" s="445" t="str">
        <f t="shared" si="1"/>
        <v>----</v>
      </c>
    </row>
    <row r="9" spans="1:10" s="432" customFormat="1">
      <c r="A9" s="89"/>
      <c r="B9" s="86"/>
      <c r="C9" s="446"/>
      <c r="D9" s="466"/>
      <c r="E9" s="473"/>
      <c r="F9" s="472" t="str">
        <f t="shared" si="0"/>
        <v>----</v>
      </c>
      <c r="G9" s="473"/>
      <c r="H9" s="472" t="str">
        <f t="shared" si="1"/>
        <v>----</v>
      </c>
      <c r="I9" s="486"/>
      <c r="J9" s="445" t="str">
        <f t="shared" si="1"/>
        <v>----</v>
      </c>
    </row>
    <row r="10" spans="1:10" s="432" customFormat="1">
      <c r="A10" s="89"/>
      <c r="B10" s="86"/>
      <c r="C10" s="446"/>
      <c r="D10" s="466"/>
      <c r="E10" s="473"/>
      <c r="F10" s="472" t="str">
        <f t="shared" si="0"/>
        <v>----</v>
      </c>
      <c r="G10" s="473"/>
      <c r="H10" s="472" t="str">
        <f t="shared" si="1"/>
        <v>----</v>
      </c>
      <c r="I10" s="486"/>
      <c r="J10" s="445" t="str">
        <f t="shared" si="1"/>
        <v>----</v>
      </c>
    </row>
    <row r="11" spans="1:10">
      <c r="A11" s="89"/>
      <c r="B11" s="86"/>
      <c r="C11" s="87"/>
      <c r="D11" s="466"/>
      <c r="E11" s="473"/>
      <c r="F11" s="472" t="str">
        <f>IF(ISBLANK(E11),"----",E11-D11)</f>
        <v>----</v>
      </c>
      <c r="G11" s="473"/>
      <c r="H11" s="472" t="str">
        <f>IF(OR(G11="Complete",ISBLANK(G11)),"----",G11-$D11)</f>
        <v>----</v>
      </c>
      <c r="I11" s="486"/>
      <c r="J11" s="83" t="str">
        <f>IF(OR(I11="Complete",ISBLANK(I11)),"----",I11-$D11)</f>
        <v>----</v>
      </c>
    </row>
    <row r="12" spans="1:10" ht="15.75" thickBot="1">
      <c r="A12" s="90"/>
      <c r="B12" s="78"/>
      <c r="C12" s="79"/>
      <c r="D12" s="546"/>
      <c r="E12" s="548"/>
      <c r="F12" s="549" t="str">
        <f>IF(ISBLANK(E12),"----",E12-D12)</f>
        <v>----</v>
      </c>
      <c r="G12" s="548"/>
      <c r="H12" s="549" t="str">
        <f>IF(OR(G12="Complete",ISBLANK(G12)),"----",G12-$D12)</f>
        <v>----</v>
      </c>
      <c r="I12" s="547"/>
      <c r="J12" s="80" t="str">
        <f>IF(OR(I12="Complete",ISBLANK(I12)),"----",I12-$D12)</f>
        <v>----</v>
      </c>
    </row>
    <row r="13" spans="1:10" ht="15.75" thickBot="1">
      <c r="A13" s="27"/>
      <c r="B13" s="27"/>
      <c r="C13" s="28"/>
      <c r="D13" s="28"/>
      <c r="E13" s="439"/>
      <c r="F13" s="441">
        <f>SUM(F4:F12)</f>
        <v>11169.830000000016</v>
      </c>
      <c r="G13" s="439"/>
      <c r="H13" s="441">
        <f>SUM(H4:H12)</f>
        <v>0</v>
      </c>
      <c r="I13" s="28"/>
      <c r="J13" s="69">
        <f>SUM(J4:J12)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711A1-5D71-4AAB-AF3B-0F319BA41C2C}">
  <dimension ref="A1:K21"/>
  <sheetViews>
    <sheetView workbookViewId="0">
      <selection activeCell="O15" sqref="O15"/>
    </sheetView>
  </sheetViews>
  <sheetFormatPr defaultRowHeight="15"/>
  <cols>
    <col min="2" max="2" width="21.140625" bestFit="1" customWidth="1"/>
    <col min="3" max="3" width="12" bestFit="1" customWidth="1"/>
    <col min="4" max="4" width="12.7109375" customWidth="1"/>
    <col min="5" max="8" width="9.140625" style="432"/>
  </cols>
  <sheetData>
    <row r="1" spans="1:11" ht="15.75" thickBot="1">
      <c r="A1" s="952" t="s">
        <v>282</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69" thickBot="1">
      <c r="A3" s="960"/>
      <c r="B3" s="962"/>
      <c r="C3" s="962"/>
      <c r="D3" s="974"/>
      <c r="E3" s="460" t="s">
        <v>121</v>
      </c>
      <c r="F3" s="468" t="s">
        <v>113</v>
      </c>
      <c r="G3" s="460" t="s">
        <v>121</v>
      </c>
      <c r="H3" s="468" t="s">
        <v>113</v>
      </c>
      <c r="I3" s="478" t="s">
        <v>121</v>
      </c>
      <c r="J3" s="25" t="s">
        <v>113</v>
      </c>
    </row>
    <row r="4" spans="1:11">
      <c r="A4" s="70">
        <v>44124</v>
      </c>
      <c r="B4" s="71" t="s">
        <v>318</v>
      </c>
      <c r="C4" s="72">
        <v>557533</v>
      </c>
      <c r="D4" s="429">
        <v>202503</v>
      </c>
      <c r="E4" s="469"/>
      <c r="F4" s="470" t="str">
        <f t="shared" ref="F4:F20" si="0">IF(ISBLANK(E4),"----",E4-D4)</f>
        <v>----</v>
      </c>
      <c r="G4" s="469"/>
      <c r="H4" s="470" t="str">
        <f t="shared" ref="H4:H20" si="1">IF(OR(G4="Complete",ISBLANK(G4)),"----",G4-$D4)</f>
        <v>----</v>
      </c>
      <c r="I4" s="479"/>
      <c r="J4" s="73" t="str">
        <f t="shared" ref="J4:J20" si="2">IF(OR(I4="Complete",ISBLANK(I4)),"----",I4-$D4)</f>
        <v>----</v>
      </c>
    </row>
    <row r="5" spans="1:11">
      <c r="A5" s="88">
        <v>44124</v>
      </c>
      <c r="B5" s="101" t="s">
        <v>319</v>
      </c>
      <c r="C5" s="82">
        <v>305110.7</v>
      </c>
      <c r="D5" s="431">
        <v>124864.7</v>
      </c>
      <c r="E5" s="471"/>
      <c r="F5" s="472" t="str">
        <f t="shared" si="0"/>
        <v>----</v>
      </c>
      <c r="G5" s="471"/>
      <c r="H5" s="472" t="str">
        <f t="shared" si="1"/>
        <v>----</v>
      </c>
      <c r="I5" s="484"/>
      <c r="J5" s="83" t="str">
        <f t="shared" si="2"/>
        <v>----</v>
      </c>
    </row>
    <row r="6" spans="1:11">
      <c r="A6" s="116">
        <v>44824</v>
      </c>
      <c r="B6" s="117" t="s">
        <v>567</v>
      </c>
      <c r="C6" s="118">
        <v>5426828.7999999998</v>
      </c>
      <c r="D6" s="467">
        <v>3290000</v>
      </c>
      <c r="E6" s="474"/>
      <c r="F6" s="487" t="str">
        <f t="shared" si="0"/>
        <v>----</v>
      </c>
      <c r="G6" s="474"/>
      <c r="H6" s="487" t="str">
        <f t="shared" si="1"/>
        <v>----</v>
      </c>
      <c r="I6" s="488"/>
      <c r="J6" s="119" t="str">
        <f t="shared" si="2"/>
        <v>----</v>
      </c>
      <c r="K6" t="s">
        <v>568</v>
      </c>
    </row>
    <row r="7" spans="1:11">
      <c r="A7" s="116"/>
      <c r="B7" s="117"/>
      <c r="C7" s="118"/>
      <c r="D7" s="467"/>
      <c r="E7" s="474"/>
      <c r="F7" s="487" t="str">
        <f t="shared" si="0"/>
        <v>----</v>
      </c>
      <c r="G7" s="474"/>
      <c r="H7" s="487" t="str">
        <f t="shared" si="1"/>
        <v>----</v>
      </c>
      <c r="I7" s="488"/>
      <c r="J7" s="119" t="str">
        <f t="shared" si="2"/>
        <v>----</v>
      </c>
    </row>
    <row r="8" spans="1:11">
      <c r="A8" s="116"/>
      <c r="B8" s="117"/>
      <c r="C8" s="118"/>
      <c r="D8" s="467"/>
      <c r="E8" s="474"/>
      <c r="F8" s="487" t="str">
        <f t="shared" si="0"/>
        <v>----</v>
      </c>
      <c r="G8" s="474"/>
      <c r="H8" s="487" t="str">
        <f t="shared" si="1"/>
        <v>----</v>
      </c>
      <c r="I8" s="488"/>
      <c r="J8" s="119" t="str">
        <f t="shared" si="2"/>
        <v>----</v>
      </c>
    </row>
    <row r="9" spans="1:11">
      <c r="A9" s="116"/>
      <c r="B9" s="117"/>
      <c r="C9" s="118"/>
      <c r="D9" s="467"/>
      <c r="E9" s="474"/>
      <c r="F9" s="487" t="str">
        <f t="shared" si="0"/>
        <v>----</v>
      </c>
      <c r="G9" s="474"/>
      <c r="H9" s="487" t="str">
        <f t="shared" si="1"/>
        <v>----</v>
      </c>
      <c r="I9" s="488"/>
      <c r="J9" s="119" t="str">
        <f t="shared" si="2"/>
        <v>----</v>
      </c>
    </row>
    <row r="10" spans="1:11">
      <c r="A10" s="116"/>
      <c r="B10" s="117"/>
      <c r="C10" s="118"/>
      <c r="D10" s="467"/>
      <c r="E10" s="474"/>
      <c r="F10" s="487" t="str">
        <f t="shared" si="0"/>
        <v>----</v>
      </c>
      <c r="G10" s="474"/>
      <c r="H10" s="487" t="str">
        <f t="shared" si="1"/>
        <v>----</v>
      </c>
      <c r="I10" s="488"/>
      <c r="J10" s="119" t="str">
        <f t="shared" si="2"/>
        <v>----</v>
      </c>
    </row>
    <row r="11" spans="1:11">
      <c r="A11" s="116"/>
      <c r="B11" s="117"/>
      <c r="C11" s="118"/>
      <c r="D11" s="467"/>
      <c r="E11" s="474"/>
      <c r="F11" s="487" t="str">
        <f t="shared" si="0"/>
        <v>----</v>
      </c>
      <c r="G11" s="474"/>
      <c r="H11" s="487" t="str">
        <f t="shared" si="1"/>
        <v>----</v>
      </c>
      <c r="I11" s="488"/>
      <c r="J11" s="119" t="str">
        <f t="shared" si="2"/>
        <v>----</v>
      </c>
    </row>
    <row r="12" spans="1:11">
      <c r="A12" s="116"/>
      <c r="B12" s="117"/>
      <c r="C12" s="118"/>
      <c r="D12" s="467"/>
      <c r="E12" s="474"/>
      <c r="F12" s="487" t="str">
        <f t="shared" si="0"/>
        <v>----</v>
      </c>
      <c r="G12" s="474"/>
      <c r="H12" s="487" t="str">
        <f t="shared" si="1"/>
        <v>----</v>
      </c>
      <c r="I12" s="488"/>
      <c r="J12" s="119" t="str">
        <f t="shared" si="2"/>
        <v>----</v>
      </c>
    </row>
    <row r="13" spans="1:11">
      <c r="A13" s="116"/>
      <c r="B13" s="117"/>
      <c r="C13" s="118"/>
      <c r="D13" s="467"/>
      <c r="E13" s="474"/>
      <c r="F13" s="487" t="str">
        <f t="shared" si="0"/>
        <v>----</v>
      </c>
      <c r="G13" s="474"/>
      <c r="H13" s="487" t="str">
        <f t="shared" si="1"/>
        <v>----</v>
      </c>
      <c r="I13" s="488"/>
      <c r="J13" s="119" t="str">
        <f t="shared" si="2"/>
        <v>----</v>
      </c>
    </row>
    <row r="14" spans="1:11">
      <c r="A14" s="116"/>
      <c r="B14" s="117"/>
      <c r="C14" s="118"/>
      <c r="D14" s="467"/>
      <c r="E14" s="474"/>
      <c r="F14" s="487" t="str">
        <f t="shared" si="0"/>
        <v>----</v>
      </c>
      <c r="G14" s="474"/>
      <c r="H14" s="487" t="str">
        <f t="shared" si="1"/>
        <v>----</v>
      </c>
      <c r="I14" s="488"/>
      <c r="J14" s="119" t="str">
        <f t="shared" si="2"/>
        <v>----</v>
      </c>
    </row>
    <row r="15" spans="1:11">
      <c r="A15" s="116"/>
      <c r="B15" s="117"/>
      <c r="C15" s="118"/>
      <c r="D15" s="467"/>
      <c r="E15" s="474"/>
      <c r="F15" s="487" t="str">
        <f t="shared" si="0"/>
        <v>----</v>
      </c>
      <c r="G15" s="474"/>
      <c r="H15" s="487" t="str">
        <f t="shared" si="1"/>
        <v>----</v>
      </c>
      <c r="I15" s="488"/>
      <c r="J15" s="119" t="str">
        <f t="shared" si="2"/>
        <v>----</v>
      </c>
    </row>
    <row r="16" spans="1:11">
      <c r="A16" s="116"/>
      <c r="B16" s="117"/>
      <c r="C16" s="118"/>
      <c r="D16" s="467"/>
      <c r="E16" s="474"/>
      <c r="F16" s="487" t="str">
        <f t="shared" si="0"/>
        <v>----</v>
      </c>
      <c r="G16" s="474"/>
      <c r="H16" s="487" t="str">
        <f t="shared" si="1"/>
        <v>----</v>
      </c>
      <c r="I16" s="488"/>
      <c r="J16" s="119" t="str">
        <f t="shared" si="2"/>
        <v>----</v>
      </c>
    </row>
    <row r="17" spans="1:10">
      <c r="A17" s="116"/>
      <c r="B17" s="117"/>
      <c r="C17" s="118"/>
      <c r="D17" s="467"/>
      <c r="E17" s="474"/>
      <c r="F17" s="487" t="str">
        <f t="shared" si="0"/>
        <v>----</v>
      </c>
      <c r="G17" s="474"/>
      <c r="H17" s="487" t="str">
        <f t="shared" si="1"/>
        <v>----</v>
      </c>
      <c r="I17" s="488"/>
      <c r="J17" s="119" t="str">
        <f t="shared" si="2"/>
        <v>----</v>
      </c>
    </row>
    <row r="18" spans="1:10">
      <c r="A18" s="116"/>
      <c r="B18" s="117"/>
      <c r="C18" s="118"/>
      <c r="D18" s="467"/>
      <c r="E18" s="474"/>
      <c r="F18" s="487" t="str">
        <f t="shared" si="0"/>
        <v>----</v>
      </c>
      <c r="G18" s="474"/>
      <c r="H18" s="487" t="str">
        <f t="shared" si="1"/>
        <v>----</v>
      </c>
      <c r="I18" s="488"/>
      <c r="J18" s="119" t="str">
        <f t="shared" si="2"/>
        <v>----</v>
      </c>
    </row>
    <row r="19" spans="1:10">
      <c r="A19" s="116"/>
      <c r="B19" s="117"/>
      <c r="C19" s="118"/>
      <c r="D19" s="467"/>
      <c r="E19" s="474"/>
      <c r="F19" s="487" t="str">
        <f t="shared" si="0"/>
        <v>----</v>
      </c>
      <c r="G19" s="474"/>
      <c r="H19" s="487" t="str">
        <f t="shared" si="1"/>
        <v>----</v>
      </c>
      <c r="I19" s="488"/>
      <c r="J19" s="119" t="str">
        <f t="shared" si="2"/>
        <v>----</v>
      </c>
    </row>
    <row r="20" spans="1:10" ht="15.75" thickBot="1">
      <c r="A20" s="74"/>
      <c r="B20" s="75"/>
      <c r="C20" s="76"/>
      <c r="D20" s="430"/>
      <c r="E20" s="475"/>
      <c r="F20" s="476" t="str">
        <f t="shared" si="0"/>
        <v>----</v>
      </c>
      <c r="G20" s="475"/>
      <c r="H20" s="476" t="str">
        <f t="shared" si="1"/>
        <v>----</v>
      </c>
      <c r="I20" s="481"/>
      <c r="J20" s="77" t="str">
        <f t="shared" si="2"/>
        <v>----</v>
      </c>
    </row>
    <row r="21" spans="1:10" ht="15.75" thickBot="1">
      <c r="A21" s="27"/>
      <c r="B21" s="27"/>
      <c r="C21" s="28"/>
      <c r="D21" s="28"/>
      <c r="E21" s="439"/>
      <c r="F21" s="441">
        <f>SUM(F4:F20)</f>
        <v>0</v>
      </c>
      <c r="G21" s="439"/>
      <c r="H21" s="441">
        <f>SUM(H4:H20)</f>
        <v>0</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F5FB5-2F66-4AAB-8F53-606161182DAE}">
  <dimension ref="A1:K22"/>
  <sheetViews>
    <sheetView workbookViewId="0">
      <selection activeCell="C4" sqref="C4:J22"/>
    </sheetView>
  </sheetViews>
  <sheetFormatPr defaultRowHeight="15"/>
  <cols>
    <col min="2" max="2" width="22.85546875" bestFit="1" customWidth="1"/>
    <col min="3" max="3" width="12.5703125" bestFit="1" customWidth="1"/>
    <col min="4" max="4" width="11.140625" customWidth="1"/>
    <col min="5" max="5" width="10.7109375" style="432" bestFit="1" customWidth="1"/>
    <col min="6" max="6" width="14" style="432" customWidth="1"/>
    <col min="7" max="7" width="10.7109375" style="432" bestFit="1" customWidth="1"/>
    <col min="8" max="8" width="14" style="432" customWidth="1"/>
    <col min="9" max="9" width="10.7109375" bestFit="1" customWidth="1"/>
    <col min="10" max="10" width="14" customWidth="1"/>
  </cols>
  <sheetData>
    <row r="1" spans="1:11" ht="15.75" thickBot="1">
      <c r="A1" s="952" t="s">
        <v>156</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46.5" thickBot="1">
      <c r="A3" s="960"/>
      <c r="B3" s="962"/>
      <c r="C3" s="962"/>
      <c r="D3" s="974"/>
      <c r="E3" s="460" t="s">
        <v>121</v>
      </c>
      <c r="F3" s="468" t="s">
        <v>113</v>
      </c>
      <c r="G3" s="460" t="s">
        <v>121</v>
      </c>
      <c r="H3" s="468" t="s">
        <v>113</v>
      </c>
      <c r="I3" s="478" t="s">
        <v>121</v>
      </c>
      <c r="J3" s="25" t="s">
        <v>113</v>
      </c>
    </row>
    <row r="4" spans="1:11">
      <c r="A4" s="70">
        <v>43816</v>
      </c>
      <c r="B4" s="71" t="s">
        <v>165</v>
      </c>
      <c r="C4" s="781">
        <v>578425.56000000006</v>
      </c>
      <c r="D4" s="787">
        <f>C4</f>
        <v>578425.56000000006</v>
      </c>
      <c r="E4" s="794">
        <v>559893.65</v>
      </c>
      <c r="F4" s="803">
        <f t="shared" ref="F4:F20" si="0">IF(ISBLANK(E4),"----",E4-D4)</f>
        <v>-18531.910000000033</v>
      </c>
      <c r="G4" s="794" t="s">
        <v>703</v>
      </c>
      <c r="H4" s="803" t="str">
        <f t="shared" ref="H4:H20" si="1">IF(OR(G4="Complete",ISBLANK(G4)),"----",G4-$D4)</f>
        <v>----</v>
      </c>
      <c r="I4" s="791" t="s">
        <v>703</v>
      </c>
      <c r="J4" s="804" t="str">
        <f t="shared" ref="J4:J20" si="2">IF(OR(I4="Complete",ISBLANK(I4)),"----",I4-$D4)</f>
        <v>----</v>
      </c>
    </row>
    <row r="5" spans="1:11">
      <c r="A5" s="127">
        <v>44153</v>
      </c>
      <c r="B5" s="124" t="s">
        <v>339</v>
      </c>
      <c r="C5" s="750">
        <v>480183.61</v>
      </c>
      <c r="D5" s="751">
        <v>179773.59</v>
      </c>
      <c r="E5" s="752">
        <v>188943.94</v>
      </c>
      <c r="F5" s="661">
        <f t="shared" si="0"/>
        <v>9170.3500000000058</v>
      </c>
      <c r="G5" s="752" t="s">
        <v>703</v>
      </c>
      <c r="H5" s="661" t="str">
        <f t="shared" si="1"/>
        <v>----</v>
      </c>
      <c r="I5" s="754" t="s">
        <v>703</v>
      </c>
      <c r="J5" s="660" t="str">
        <f t="shared" si="2"/>
        <v>----</v>
      </c>
      <c r="K5" t="s">
        <v>735</v>
      </c>
    </row>
    <row r="6" spans="1:11">
      <c r="A6" s="120">
        <v>44880</v>
      </c>
      <c r="B6" s="121" t="s">
        <v>598</v>
      </c>
      <c r="C6" s="725">
        <v>575513.61</v>
      </c>
      <c r="D6" s="742">
        <f>C6</f>
        <v>575513.61</v>
      </c>
      <c r="E6" s="756"/>
      <c r="F6" s="661" t="str">
        <f t="shared" si="0"/>
        <v>----</v>
      </c>
      <c r="G6" s="756"/>
      <c r="H6" s="661" t="str">
        <f t="shared" si="1"/>
        <v>----</v>
      </c>
      <c r="I6" s="757"/>
      <c r="J6" s="660" t="str">
        <f t="shared" si="2"/>
        <v>----</v>
      </c>
    </row>
    <row r="7" spans="1:11">
      <c r="A7" s="120">
        <v>45615</v>
      </c>
      <c r="B7" s="121" t="s">
        <v>782</v>
      </c>
      <c r="C7" s="725">
        <v>514450.7</v>
      </c>
      <c r="D7" s="742">
        <f>C7</f>
        <v>514450.7</v>
      </c>
      <c r="E7" s="756"/>
      <c r="F7" s="661" t="str">
        <f t="shared" si="0"/>
        <v>----</v>
      </c>
      <c r="G7" s="756"/>
      <c r="H7" s="661" t="str">
        <f t="shared" si="1"/>
        <v>----</v>
      </c>
      <c r="I7" s="757"/>
      <c r="J7" s="660" t="str">
        <f t="shared" si="2"/>
        <v>----</v>
      </c>
    </row>
    <row r="8" spans="1:11">
      <c r="A8" s="120">
        <v>45734</v>
      </c>
      <c r="B8" s="121" t="s">
        <v>860</v>
      </c>
      <c r="C8" s="725">
        <v>1233758.6499999999</v>
      </c>
      <c r="D8" s="742">
        <f>C8</f>
        <v>1233758.6499999999</v>
      </c>
      <c r="E8" s="756"/>
      <c r="F8" s="661" t="str">
        <f t="shared" si="0"/>
        <v>----</v>
      </c>
      <c r="G8" s="756"/>
      <c r="H8" s="661" t="str">
        <f t="shared" si="1"/>
        <v>----</v>
      </c>
      <c r="I8" s="757"/>
      <c r="J8" s="660" t="str">
        <f t="shared" si="2"/>
        <v>----</v>
      </c>
    </row>
    <row r="9" spans="1:11">
      <c r="A9" s="120"/>
      <c r="B9" s="121"/>
      <c r="C9" s="725"/>
      <c r="D9" s="742"/>
      <c r="E9" s="756"/>
      <c r="F9" s="661" t="str">
        <f t="shared" si="0"/>
        <v>----</v>
      </c>
      <c r="G9" s="756"/>
      <c r="H9" s="661" t="str">
        <f t="shared" si="1"/>
        <v>----</v>
      </c>
      <c r="I9" s="757"/>
      <c r="J9" s="660" t="str">
        <f t="shared" si="2"/>
        <v>----</v>
      </c>
    </row>
    <row r="10" spans="1:11">
      <c r="A10" s="120"/>
      <c r="B10" s="121"/>
      <c r="C10" s="725"/>
      <c r="D10" s="742"/>
      <c r="E10" s="756"/>
      <c r="F10" s="661" t="str">
        <f t="shared" si="0"/>
        <v>----</v>
      </c>
      <c r="G10" s="756"/>
      <c r="H10" s="661" t="str">
        <f t="shared" si="1"/>
        <v>----</v>
      </c>
      <c r="I10" s="757"/>
      <c r="J10" s="660" t="str">
        <f t="shared" si="2"/>
        <v>----</v>
      </c>
    </row>
    <row r="11" spans="1:11">
      <c r="A11" s="120"/>
      <c r="B11" s="121"/>
      <c r="C11" s="725"/>
      <c r="D11" s="742"/>
      <c r="E11" s="756"/>
      <c r="F11" s="661" t="str">
        <f t="shared" si="0"/>
        <v>----</v>
      </c>
      <c r="G11" s="756"/>
      <c r="H11" s="661" t="str">
        <f t="shared" si="1"/>
        <v>----</v>
      </c>
      <c r="I11" s="757"/>
      <c r="J11" s="660" t="str">
        <f t="shared" si="2"/>
        <v>----</v>
      </c>
    </row>
    <row r="12" spans="1:11">
      <c r="A12" s="120"/>
      <c r="B12" s="121"/>
      <c r="C12" s="725"/>
      <c r="D12" s="742"/>
      <c r="E12" s="756"/>
      <c r="F12" s="661" t="str">
        <f t="shared" si="0"/>
        <v>----</v>
      </c>
      <c r="G12" s="756"/>
      <c r="H12" s="661" t="str">
        <f t="shared" si="1"/>
        <v>----</v>
      </c>
      <c r="I12" s="757"/>
      <c r="J12" s="660" t="str">
        <f t="shared" si="2"/>
        <v>----</v>
      </c>
    </row>
    <row r="13" spans="1:11">
      <c r="A13" s="120"/>
      <c r="B13" s="121"/>
      <c r="C13" s="725"/>
      <c r="D13" s="742"/>
      <c r="E13" s="756"/>
      <c r="F13" s="661" t="str">
        <f t="shared" si="0"/>
        <v>----</v>
      </c>
      <c r="G13" s="756"/>
      <c r="H13" s="661" t="str">
        <f t="shared" si="1"/>
        <v>----</v>
      </c>
      <c r="I13" s="757"/>
      <c r="J13" s="660" t="str">
        <f t="shared" si="2"/>
        <v>----</v>
      </c>
    </row>
    <row r="14" spans="1:11">
      <c r="A14" s="120"/>
      <c r="B14" s="121"/>
      <c r="C14" s="725"/>
      <c r="D14" s="742"/>
      <c r="E14" s="756"/>
      <c r="F14" s="661" t="str">
        <f t="shared" si="0"/>
        <v>----</v>
      </c>
      <c r="G14" s="756"/>
      <c r="H14" s="661" t="str">
        <f t="shared" si="1"/>
        <v>----</v>
      </c>
      <c r="I14" s="757"/>
      <c r="J14" s="660" t="str">
        <f t="shared" si="2"/>
        <v>----</v>
      </c>
    </row>
    <row r="15" spans="1:11">
      <c r="A15" s="120"/>
      <c r="B15" s="121"/>
      <c r="C15" s="725"/>
      <c r="D15" s="742"/>
      <c r="E15" s="756"/>
      <c r="F15" s="661" t="str">
        <f t="shared" si="0"/>
        <v>----</v>
      </c>
      <c r="G15" s="756"/>
      <c r="H15" s="661" t="str">
        <f t="shared" si="1"/>
        <v>----</v>
      </c>
      <c r="I15" s="757"/>
      <c r="J15" s="660" t="str">
        <f t="shared" si="2"/>
        <v>----</v>
      </c>
    </row>
    <row r="16" spans="1:11">
      <c r="A16" s="120"/>
      <c r="B16" s="121"/>
      <c r="C16" s="725"/>
      <c r="D16" s="742"/>
      <c r="E16" s="756"/>
      <c r="F16" s="661" t="str">
        <f t="shared" si="0"/>
        <v>----</v>
      </c>
      <c r="G16" s="756"/>
      <c r="H16" s="661" t="str">
        <f t="shared" si="1"/>
        <v>----</v>
      </c>
      <c r="I16" s="757"/>
      <c r="J16" s="660" t="str">
        <f t="shared" si="2"/>
        <v>----</v>
      </c>
    </row>
    <row r="17" spans="1:10">
      <c r="A17" s="120"/>
      <c r="B17" s="121"/>
      <c r="C17" s="725"/>
      <c r="D17" s="742"/>
      <c r="E17" s="756"/>
      <c r="F17" s="661" t="str">
        <f t="shared" si="0"/>
        <v>----</v>
      </c>
      <c r="G17" s="756"/>
      <c r="H17" s="661" t="str">
        <f t="shared" si="1"/>
        <v>----</v>
      </c>
      <c r="I17" s="757"/>
      <c r="J17" s="660" t="str">
        <f t="shared" si="2"/>
        <v>----</v>
      </c>
    </row>
    <row r="18" spans="1:10">
      <c r="A18" s="120"/>
      <c r="B18" s="121"/>
      <c r="C18" s="725"/>
      <c r="D18" s="742"/>
      <c r="E18" s="756"/>
      <c r="F18" s="661" t="str">
        <f t="shared" si="0"/>
        <v>----</v>
      </c>
      <c r="G18" s="756"/>
      <c r="H18" s="661" t="str">
        <f t="shared" si="1"/>
        <v>----</v>
      </c>
      <c r="I18" s="757"/>
      <c r="J18" s="660" t="str">
        <f t="shared" si="2"/>
        <v>----</v>
      </c>
    </row>
    <row r="19" spans="1:10">
      <c r="A19" s="123"/>
      <c r="C19" s="726"/>
      <c r="D19" s="743"/>
      <c r="E19" s="764"/>
      <c r="F19" s="661" t="str">
        <f t="shared" si="0"/>
        <v>----</v>
      </c>
      <c r="G19" s="764"/>
      <c r="H19" s="661" t="str">
        <f t="shared" si="1"/>
        <v>----</v>
      </c>
      <c r="I19" s="765"/>
      <c r="J19" s="660" t="str">
        <f t="shared" si="2"/>
        <v>----</v>
      </c>
    </row>
    <row r="20" spans="1:10" ht="15.75" thickBot="1">
      <c r="A20" s="74"/>
      <c r="B20" s="75"/>
      <c r="C20" s="783"/>
      <c r="D20" s="790"/>
      <c r="E20" s="796"/>
      <c r="F20" s="801" t="str">
        <f t="shared" si="0"/>
        <v>----</v>
      </c>
      <c r="G20" s="796"/>
      <c r="H20" s="801" t="str">
        <f t="shared" si="1"/>
        <v>----</v>
      </c>
      <c r="I20" s="793"/>
      <c r="J20" s="802" t="str">
        <f t="shared" si="2"/>
        <v>----</v>
      </c>
    </row>
    <row r="21" spans="1:10" ht="15.75" thickBot="1">
      <c r="A21" s="27"/>
      <c r="B21" s="27"/>
      <c r="C21" s="814"/>
      <c r="D21" s="814"/>
      <c r="E21" s="814"/>
      <c r="F21" s="815">
        <f>SUM(F4:F20)</f>
        <v>-9361.5600000000268</v>
      </c>
      <c r="G21" s="814"/>
      <c r="H21" s="815">
        <f>SUM(H4:H20)</f>
        <v>0</v>
      </c>
      <c r="I21" s="814"/>
      <c r="J21" s="815">
        <f>SUM(J4:J20)</f>
        <v>0</v>
      </c>
    </row>
    <row r="22" spans="1:10">
      <c r="C22" s="719"/>
      <c r="D22" s="719"/>
      <c r="E22" s="719"/>
      <c r="F22" s="719"/>
      <c r="G22" s="719"/>
      <c r="H22" s="719"/>
      <c r="I22" s="719"/>
      <c r="J22" s="719"/>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DD8A-2ECC-464C-83CD-442E295F1214}">
  <dimension ref="A1:L28"/>
  <sheetViews>
    <sheetView workbookViewId="0">
      <selection activeCell="D20" sqref="D20"/>
    </sheetView>
  </sheetViews>
  <sheetFormatPr defaultRowHeight="15"/>
  <cols>
    <col min="2" max="2" width="22.28515625" bestFit="1" customWidth="1"/>
    <col min="3" max="3" width="12" bestFit="1" customWidth="1"/>
    <col min="4" max="4" width="13.42578125" customWidth="1"/>
    <col min="5" max="5" width="12" style="432" bestFit="1" customWidth="1"/>
    <col min="6" max="6" width="11.85546875" style="432" customWidth="1"/>
    <col min="7" max="7" width="12" style="432" bestFit="1" customWidth="1"/>
    <col min="8" max="8" width="11.85546875" style="432" customWidth="1"/>
    <col min="9" max="9" width="12" bestFit="1" customWidth="1"/>
    <col min="10" max="10" width="11.85546875" customWidth="1"/>
  </cols>
  <sheetData>
    <row r="1" spans="1:12" ht="15.75" thickBot="1">
      <c r="A1" s="952" t="s">
        <v>128</v>
      </c>
      <c r="B1" s="953"/>
      <c r="C1" s="953"/>
      <c r="D1" s="953"/>
      <c r="E1" s="953"/>
      <c r="F1" s="953"/>
      <c r="G1" s="953"/>
      <c r="H1" s="953"/>
      <c r="I1" s="953"/>
      <c r="J1" s="954"/>
    </row>
    <row r="2" spans="1:12" s="432" customFormat="1">
      <c r="A2" s="959" t="s">
        <v>110</v>
      </c>
      <c r="B2" s="961" t="s">
        <v>111</v>
      </c>
      <c r="C2" s="961" t="s">
        <v>112</v>
      </c>
      <c r="D2" s="973" t="s">
        <v>120</v>
      </c>
      <c r="E2" s="957" t="s">
        <v>701</v>
      </c>
      <c r="F2" s="958"/>
      <c r="G2" s="957" t="s">
        <v>702</v>
      </c>
      <c r="H2" s="958"/>
      <c r="I2" s="932" t="s">
        <v>796</v>
      </c>
      <c r="J2" s="933"/>
    </row>
    <row r="3" spans="1:12" ht="57.75" thickBot="1">
      <c r="A3" s="960"/>
      <c r="B3" s="962"/>
      <c r="C3" s="962"/>
      <c r="D3" s="974"/>
      <c r="E3" s="460" t="s">
        <v>121</v>
      </c>
      <c r="F3" s="468" t="s">
        <v>113</v>
      </c>
      <c r="G3" s="460" t="s">
        <v>121</v>
      </c>
      <c r="H3" s="468" t="s">
        <v>113</v>
      </c>
      <c r="I3" s="478" t="s">
        <v>121</v>
      </c>
      <c r="J3" s="25" t="s">
        <v>113</v>
      </c>
    </row>
    <row r="4" spans="1:12">
      <c r="A4" s="70">
        <v>43970</v>
      </c>
      <c r="B4" s="71" t="s">
        <v>119</v>
      </c>
      <c r="C4" s="781">
        <v>1878163.05</v>
      </c>
      <c r="D4" s="787">
        <f>C4</f>
        <v>1878163.05</v>
      </c>
      <c r="E4" s="794">
        <v>1894818.47</v>
      </c>
      <c r="F4" s="803">
        <f t="shared" ref="F4:F27" si="0">IF(ISBLANK(E4),"----",E4-D4)</f>
        <v>16655.419999999925</v>
      </c>
      <c r="G4" s="794" t="s">
        <v>703</v>
      </c>
      <c r="H4" s="803" t="str">
        <f t="shared" ref="H4:H27" si="1">IF(OR(G4="Complete",ISBLANK(G4)),"----",G4-$D4)</f>
        <v>----</v>
      </c>
      <c r="I4" s="791" t="s">
        <v>703</v>
      </c>
      <c r="J4" s="804" t="str">
        <f t="shared" ref="J4:J27" si="2">IF(OR(I4="Complete",ISBLANK(I4)),"----",I4-$D4)</f>
        <v>----</v>
      </c>
    </row>
    <row r="5" spans="1:12">
      <c r="A5" s="88">
        <v>43907</v>
      </c>
      <c r="B5" s="101" t="s">
        <v>229</v>
      </c>
      <c r="C5" s="784">
        <v>477385.1</v>
      </c>
      <c r="D5" s="788">
        <f>C5</f>
        <v>477385.1</v>
      </c>
      <c r="E5" s="795"/>
      <c r="F5" s="807" t="str">
        <f t="shared" si="0"/>
        <v>----</v>
      </c>
      <c r="G5" s="795"/>
      <c r="H5" s="807" t="str">
        <f t="shared" si="1"/>
        <v>----</v>
      </c>
      <c r="I5" s="792"/>
      <c r="J5" s="808" t="str">
        <f t="shared" si="2"/>
        <v>----</v>
      </c>
    </row>
    <row r="6" spans="1:12">
      <c r="A6" s="91">
        <v>44124</v>
      </c>
      <c r="B6" s="92" t="s">
        <v>308</v>
      </c>
      <c r="C6" s="782">
        <f>1808794.7/2</f>
        <v>904397.35</v>
      </c>
      <c r="D6" s="797">
        <f>361758.94/2</f>
        <v>180879.47</v>
      </c>
      <c r="E6" s="799"/>
      <c r="F6" s="662" t="str">
        <f t="shared" si="0"/>
        <v>----</v>
      </c>
      <c r="G6" s="799">
        <f>(1828683.75-1462947)/2</f>
        <v>182868.375</v>
      </c>
      <c r="H6" s="662">
        <f t="shared" si="1"/>
        <v>1988.9049999999988</v>
      </c>
      <c r="I6" s="798" t="s">
        <v>703</v>
      </c>
      <c r="J6" s="663" t="str">
        <f t="shared" si="2"/>
        <v>----</v>
      </c>
      <c r="K6" t="s">
        <v>323</v>
      </c>
    </row>
    <row r="7" spans="1:12">
      <c r="A7" s="102">
        <v>44362</v>
      </c>
      <c r="B7" s="103" t="s">
        <v>432</v>
      </c>
      <c r="C7" s="770">
        <v>481912.75</v>
      </c>
      <c r="D7" s="729">
        <f t="shared" ref="D7:D15" si="3">C7</f>
        <v>481912.75</v>
      </c>
      <c r="E7" s="739"/>
      <c r="F7" s="807" t="str">
        <f t="shared" si="0"/>
        <v>----</v>
      </c>
      <c r="G7" s="739">
        <v>476478.49</v>
      </c>
      <c r="H7" s="807">
        <f t="shared" si="1"/>
        <v>-5434.2600000000093</v>
      </c>
      <c r="I7" s="734" t="s">
        <v>703</v>
      </c>
      <c r="J7" s="808" t="str">
        <f t="shared" si="2"/>
        <v>----</v>
      </c>
    </row>
    <row r="8" spans="1:12">
      <c r="A8" s="102">
        <v>44425</v>
      </c>
      <c r="B8" s="103" t="s">
        <v>450</v>
      </c>
      <c r="C8" s="770">
        <v>594695.03</v>
      </c>
      <c r="D8" s="729">
        <f t="shared" si="3"/>
        <v>594695.03</v>
      </c>
      <c r="E8" s="739"/>
      <c r="F8" s="807" t="str">
        <f t="shared" si="0"/>
        <v>----</v>
      </c>
      <c r="G8" s="739"/>
      <c r="H8" s="807" t="str">
        <f t="shared" si="1"/>
        <v>----</v>
      </c>
      <c r="I8" s="734"/>
      <c r="J8" s="808" t="str">
        <f t="shared" si="2"/>
        <v>----</v>
      </c>
    </row>
    <row r="9" spans="1:12">
      <c r="A9" s="130">
        <v>44516</v>
      </c>
      <c r="B9" s="117" t="s">
        <v>470</v>
      </c>
      <c r="C9" s="818">
        <v>925595.9</v>
      </c>
      <c r="D9" s="819">
        <f t="shared" si="3"/>
        <v>925595.9</v>
      </c>
      <c r="E9" s="820"/>
      <c r="F9" s="807" t="str">
        <f t="shared" si="0"/>
        <v>----</v>
      </c>
      <c r="G9" s="820">
        <v>918315.2</v>
      </c>
      <c r="H9" s="807">
        <f t="shared" si="1"/>
        <v>-7280.7000000000698</v>
      </c>
      <c r="I9" s="821" t="s">
        <v>703</v>
      </c>
      <c r="J9" s="808" t="str">
        <f t="shared" si="2"/>
        <v>----</v>
      </c>
    </row>
    <row r="10" spans="1:12">
      <c r="A10" s="130">
        <v>44789</v>
      </c>
      <c r="B10" s="226" t="s">
        <v>554</v>
      </c>
      <c r="C10" s="818">
        <v>1599632.01</v>
      </c>
      <c r="D10" s="819">
        <f t="shared" si="3"/>
        <v>1599632.01</v>
      </c>
      <c r="E10" s="820"/>
      <c r="F10" s="807" t="str">
        <f t="shared" si="0"/>
        <v>----</v>
      </c>
      <c r="G10" s="820"/>
      <c r="H10" s="807" t="str">
        <f t="shared" si="1"/>
        <v>----</v>
      </c>
      <c r="I10" s="821"/>
      <c r="J10" s="808" t="str">
        <f t="shared" si="2"/>
        <v>----</v>
      </c>
      <c r="L10" t="s">
        <v>555</v>
      </c>
    </row>
    <row r="11" spans="1:12">
      <c r="A11" s="130">
        <v>44852</v>
      </c>
      <c r="B11" s="226" t="s">
        <v>577</v>
      </c>
      <c r="C11" s="818">
        <v>685341.17</v>
      </c>
      <c r="D11" s="819">
        <f t="shared" si="3"/>
        <v>685341.17</v>
      </c>
      <c r="E11" s="820"/>
      <c r="F11" s="807" t="str">
        <f t="shared" si="0"/>
        <v>----</v>
      </c>
      <c r="G11" s="820">
        <v>667877.59</v>
      </c>
      <c r="H11" s="807">
        <f t="shared" si="1"/>
        <v>-17463.580000000075</v>
      </c>
      <c r="I11" s="821" t="s">
        <v>703</v>
      </c>
      <c r="J11" s="808" t="str">
        <f t="shared" si="2"/>
        <v>----</v>
      </c>
    </row>
    <row r="12" spans="1:12">
      <c r="A12" s="130">
        <v>45370</v>
      </c>
      <c r="B12" s="226" t="s">
        <v>731</v>
      </c>
      <c r="C12" s="818">
        <v>243071.55</v>
      </c>
      <c r="D12" s="819">
        <f t="shared" si="3"/>
        <v>243071.55</v>
      </c>
      <c r="E12" s="820"/>
      <c r="F12" s="807" t="str">
        <f t="shared" si="0"/>
        <v>----</v>
      </c>
      <c r="G12" s="820"/>
      <c r="H12" s="807" t="str">
        <f t="shared" si="1"/>
        <v>----</v>
      </c>
      <c r="I12" s="821"/>
      <c r="J12" s="808" t="str">
        <f t="shared" si="2"/>
        <v>----</v>
      </c>
    </row>
    <row r="13" spans="1:12">
      <c r="A13" s="130">
        <v>45370</v>
      </c>
      <c r="B13" s="226" t="s">
        <v>732</v>
      </c>
      <c r="C13" s="818">
        <v>349646.75</v>
      </c>
      <c r="D13" s="819">
        <f t="shared" si="3"/>
        <v>349646.75</v>
      </c>
      <c r="E13" s="820"/>
      <c r="F13" s="807" t="str">
        <f t="shared" si="0"/>
        <v>----</v>
      </c>
      <c r="G13" s="820"/>
      <c r="H13" s="807" t="str">
        <f t="shared" si="1"/>
        <v>----</v>
      </c>
      <c r="I13" s="821"/>
      <c r="J13" s="808" t="str">
        <f t="shared" si="2"/>
        <v>----</v>
      </c>
    </row>
    <row r="14" spans="1:12">
      <c r="A14" s="130">
        <v>45433</v>
      </c>
      <c r="B14" s="226" t="s">
        <v>751</v>
      </c>
      <c r="C14" s="818">
        <v>243556.65</v>
      </c>
      <c r="D14" s="819">
        <f t="shared" si="3"/>
        <v>243556.65</v>
      </c>
      <c r="E14" s="820"/>
      <c r="F14" s="807" t="str">
        <f t="shared" si="0"/>
        <v>----</v>
      </c>
      <c r="G14" s="820"/>
      <c r="H14" s="807" t="str">
        <f t="shared" si="1"/>
        <v>----</v>
      </c>
      <c r="I14" s="821"/>
      <c r="J14" s="808" t="str">
        <f t="shared" si="2"/>
        <v>----</v>
      </c>
    </row>
    <row r="15" spans="1:12">
      <c r="A15" s="130">
        <v>45433</v>
      </c>
      <c r="B15" s="226" t="s">
        <v>752</v>
      </c>
      <c r="C15" s="818">
        <v>257474</v>
      </c>
      <c r="D15" s="819">
        <f t="shared" si="3"/>
        <v>257474</v>
      </c>
      <c r="E15" s="820"/>
      <c r="F15" s="807" t="str">
        <f t="shared" si="0"/>
        <v>----</v>
      </c>
      <c r="G15" s="820"/>
      <c r="H15" s="807" t="str">
        <f t="shared" si="1"/>
        <v>----</v>
      </c>
      <c r="I15" s="821"/>
      <c r="J15" s="808" t="str">
        <f t="shared" si="2"/>
        <v>----</v>
      </c>
    </row>
    <row r="16" spans="1:12">
      <c r="A16" s="984">
        <v>45706</v>
      </c>
      <c r="B16" s="220" t="s">
        <v>840</v>
      </c>
      <c r="C16" s="758">
        <f>332734.14/2</f>
        <v>166367.07</v>
      </c>
      <c r="D16" s="759">
        <f>C16</f>
        <v>166367.07</v>
      </c>
      <c r="E16" s="760"/>
      <c r="F16" s="816" t="str">
        <f t="shared" si="0"/>
        <v>----</v>
      </c>
      <c r="G16" s="760"/>
      <c r="H16" s="816" t="str">
        <f t="shared" si="1"/>
        <v>----</v>
      </c>
      <c r="I16" s="762"/>
      <c r="J16" s="817" t="str">
        <f t="shared" si="2"/>
        <v>----</v>
      </c>
      <c r="K16" s="780" t="s">
        <v>844</v>
      </c>
    </row>
    <row r="17" spans="1:11">
      <c r="A17" s="985"/>
      <c r="B17" s="220" t="s">
        <v>841</v>
      </c>
      <c r="C17" s="758">
        <f>237813.5/2</f>
        <v>118906.75</v>
      </c>
      <c r="D17" s="759">
        <f>C17</f>
        <v>118906.75</v>
      </c>
      <c r="E17" s="760"/>
      <c r="F17" s="816" t="str">
        <f t="shared" si="0"/>
        <v>----</v>
      </c>
      <c r="G17" s="760"/>
      <c r="H17" s="816" t="str">
        <f t="shared" si="1"/>
        <v>----</v>
      </c>
      <c r="I17" s="762"/>
      <c r="J17" s="817" t="str">
        <f t="shared" si="2"/>
        <v>----</v>
      </c>
      <c r="K17" s="780" t="s">
        <v>845</v>
      </c>
    </row>
    <row r="18" spans="1:11">
      <c r="A18" s="130">
        <v>45706</v>
      </c>
      <c r="B18" s="226" t="s">
        <v>848</v>
      </c>
      <c r="C18" s="818">
        <v>425894.18</v>
      </c>
      <c r="D18" s="819">
        <f>C18</f>
        <v>425894.18</v>
      </c>
      <c r="E18" s="820"/>
      <c r="F18" s="807" t="str">
        <f t="shared" si="0"/>
        <v>----</v>
      </c>
      <c r="G18" s="820"/>
      <c r="H18" s="807" t="str">
        <f t="shared" si="1"/>
        <v>----</v>
      </c>
      <c r="I18" s="821"/>
      <c r="J18" s="808" t="str">
        <f t="shared" si="2"/>
        <v>----</v>
      </c>
    </row>
    <row r="19" spans="1:11">
      <c r="A19" s="130">
        <v>45706</v>
      </c>
      <c r="B19" s="226" t="s">
        <v>849</v>
      </c>
      <c r="C19" s="818">
        <v>479993.2</v>
      </c>
      <c r="D19" s="819">
        <f>C19</f>
        <v>479993.2</v>
      </c>
      <c r="E19" s="820"/>
      <c r="F19" s="807" t="str">
        <f t="shared" si="0"/>
        <v>----</v>
      </c>
      <c r="G19" s="820"/>
      <c r="H19" s="807" t="str">
        <f t="shared" si="1"/>
        <v>----</v>
      </c>
      <c r="I19" s="821"/>
      <c r="J19" s="808" t="str">
        <f t="shared" si="2"/>
        <v>----</v>
      </c>
    </row>
    <row r="20" spans="1:11">
      <c r="A20" s="130"/>
      <c r="B20" s="226"/>
      <c r="C20" s="818"/>
      <c r="D20" s="819"/>
      <c r="E20" s="820"/>
      <c r="F20" s="807" t="str">
        <f t="shared" si="0"/>
        <v>----</v>
      </c>
      <c r="G20" s="820"/>
      <c r="H20" s="807" t="str">
        <f t="shared" si="1"/>
        <v>----</v>
      </c>
      <c r="I20" s="821"/>
      <c r="J20" s="808" t="str">
        <f t="shared" si="2"/>
        <v>----</v>
      </c>
    </row>
    <row r="21" spans="1:11">
      <c r="A21" s="130"/>
      <c r="B21" s="226"/>
      <c r="C21" s="818"/>
      <c r="D21" s="819"/>
      <c r="E21" s="820"/>
      <c r="F21" s="807" t="str">
        <f t="shared" si="0"/>
        <v>----</v>
      </c>
      <c r="G21" s="820"/>
      <c r="H21" s="807" t="str">
        <f t="shared" si="1"/>
        <v>----</v>
      </c>
      <c r="I21" s="821"/>
      <c r="J21" s="808" t="str">
        <f t="shared" si="2"/>
        <v>----</v>
      </c>
    </row>
    <row r="22" spans="1:11">
      <c r="A22" s="130"/>
      <c r="B22" s="226"/>
      <c r="C22" s="818"/>
      <c r="D22" s="819"/>
      <c r="E22" s="820"/>
      <c r="F22" s="807" t="str">
        <f t="shared" si="0"/>
        <v>----</v>
      </c>
      <c r="G22" s="820"/>
      <c r="H22" s="807" t="str">
        <f t="shared" si="1"/>
        <v>----</v>
      </c>
      <c r="I22" s="821"/>
      <c r="J22" s="808" t="str">
        <f t="shared" si="2"/>
        <v>----</v>
      </c>
    </row>
    <row r="23" spans="1:11">
      <c r="A23" s="130"/>
      <c r="B23" s="226"/>
      <c r="C23" s="818"/>
      <c r="D23" s="819"/>
      <c r="E23" s="820"/>
      <c r="F23" s="807" t="str">
        <f t="shared" si="0"/>
        <v>----</v>
      </c>
      <c r="G23" s="820"/>
      <c r="H23" s="807" t="str">
        <f t="shared" si="1"/>
        <v>----</v>
      </c>
      <c r="I23" s="821"/>
      <c r="J23" s="808" t="str">
        <f t="shared" si="2"/>
        <v>----</v>
      </c>
    </row>
    <row r="24" spans="1:11">
      <c r="A24" s="130"/>
      <c r="B24" s="226"/>
      <c r="C24" s="818"/>
      <c r="D24" s="819"/>
      <c r="E24" s="820"/>
      <c r="F24" s="807" t="str">
        <f t="shared" si="0"/>
        <v>----</v>
      </c>
      <c r="G24" s="820"/>
      <c r="H24" s="807" t="str">
        <f t="shared" si="1"/>
        <v>----</v>
      </c>
      <c r="I24" s="821"/>
      <c r="J24" s="808" t="str">
        <f t="shared" si="2"/>
        <v>----</v>
      </c>
    </row>
    <row r="25" spans="1:11">
      <c r="A25" s="130"/>
      <c r="B25" s="226"/>
      <c r="C25" s="818"/>
      <c r="D25" s="819"/>
      <c r="E25" s="820"/>
      <c r="F25" s="807" t="str">
        <f t="shared" si="0"/>
        <v>----</v>
      </c>
      <c r="G25" s="820"/>
      <c r="H25" s="807" t="str">
        <f t="shared" si="1"/>
        <v>----</v>
      </c>
      <c r="I25" s="821"/>
      <c r="J25" s="808" t="str">
        <f t="shared" si="2"/>
        <v>----</v>
      </c>
    </row>
    <row r="26" spans="1:11">
      <c r="A26" s="116"/>
      <c r="B26" s="117"/>
      <c r="C26" s="773"/>
      <c r="D26" s="789"/>
      <c r="E26" s="740"/>
      <c r="F26" s="807" t="str">
        <f t="shared" si="0"/>
        <v>----</v>
      </c>
      <c r="G26" s="740"/>
      <c r="H26" s="807" t="str">
        <f t="shared" si="1"/>
        <v>----</v>
      </c>
      <c r="I26" s="735"/>
      <c r="J26" s="808" t="str">
        <f t="shared" si="2"/>
        <v>----</v>
      </c>
    </row>
    <row r="27" spans="1:11" ht="15.75" thickBot="1">
      <c r="A27" s="74"/>
      <c r="B27" s="75"/>
      <c r="C27" s="783"/>
      <c r="D27" s="790"/>
      <c r="E27" s="796"/>
      <c r="F27" s="801" t="str">
        <f t="shared" si="0"/>
        <v>----</v>
      </c>
      <c r="G27" s="796"/>
      <c r="H27" s="801" t="str">
        <f t="shared" si="1"/>
        <v>----</v>
      </c>
      <c r="I27" s="793"/>
      <c r="J27" s="802" t="str">
        <f t="shared" si="2"/>
        <v>----</v>
      </c>
    </row>
    <row r="28" spans="1:11" ht="15.75" thickBot="1">
      <c r="A28" s="27"/>
      <c r="B28" s="27"/>
      <c r="C28" s="814"/>
      <c r="D28" s="814"/>
      <c r="E28" s="814"/>
      <c r="F28" s="815">
        <f>SUM(F4:F27)</f>
        <v>16655.419999999925</v>
      </c>
      <c r="G28" s="814"/>
      <c r="H28" s="815">
        <f>SUM(H4:H27)</f>
        <v>-28189.635000000155</v>
      </c>
      <c r="I28" s="814"/>
      <c r="J28" s="815">
        <f>SUM(J4:J27)</f>
        <v>0</v>
      </c>
    </row>
  </sheetData>
  <mergeCells count="9">
    <mergeCell ref="A16:A17"/>
    <mergeCell ref="A1:J1"/>
    <mergeCell ref="E2:F2"/>
    <mergeCell ref="I2:J2"/>
    <mergeCell ref="A2:A3"/>
    <mergeCell ref="B2:B3"/>
    <mergeCell ref="C2:C3"/>
    <mergeCell ref="D2:D3"/>
    <mergeCell ref="G2:H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ACF7E-ABE7-40FC-B486-8BB7A8E26F6F}">
  <dimension ref="A1:R31"/>
  <sheetViews>
    <sheetView workbookViewId="0">
      <selection activeCell="D22" sqref="D22"/>
    </sheetView>
  </sheetViews>
  <sheetFormatPr defaultRowHeight="15"/>
  <cols>
    <col min="2" max="2" width="23" bestFit="1" customWidth="1"/>
    <col min="3" max="3" width="11.140625" bestFit="1" customWidth="1"/>
    <col min="4" max="4" width="11.7109375" customWidth="1"/>
    <col min="5" max="5" width="10.7109375" style="432" bestFit="1" customWidth="1"/>
    <col min="6" max="6" width="9.5703125" style="432" bestFit="1" customWidth="1"/>
    <col min="7" max="7" width="10.7109375" style="432" bestFit="1" customWidth="1"/>
    <col min="8" max="8" width="10.5703125" style="432" customWidth="1"/>
    <col min="9" max="9" width="10.7109375" bestFit="1" customWidth="1"/>
    <col min="10" max="10" width="10.5703125" customWidth="1"/>
    <col min="14" max="14" width="12.5703125" bestFit="1" customWidth="1"/>
    <col min="18" max="18" width="11.5703125" bestFit="1" customWidth="1"/>
  </cols>
  <sheetData>
    <row r="1" spans="1:18" ht="15.75" thickBot="1">
      <c r="A1" s="952" t="s">
        <v>248</v>
      </c>
      <c r="B1" s="953"/>
      <c r="C1" s="953"/>
      <c r="D1" s="953"/>
      <c r="E1" s="953"/>
      <c r="F1" s="953"/>
      <c r="G1" s="953"/>
      <c r="H1" s="953"/>
      <c r="I1" s="953"/>
      <c r="J1" s="954"/>
    </row>
    <row r="2" spans="1:18" s="432" customFormat="1" ht="15" customHeight="1">
      <c r="A2" s="959" t="s">
        <v>110</v>
      </c>
      <c r="B2" s="961" t="s">
        <v>111</v>
      </c>
      <c r="C2" s="961" t="s">
        <v>112</v>
      </c>
      <c r="D2" s="963" t="s">
        <v>120</v>
      </c>
      <c r="E2" s="957" t="s">
        <v>701</v>
      </c>
      <c r="F2" s="958"/>
      <c r="G2" s="957" t="s">
        <v>702</v>
      </c>
      <c r="H2" s="958"/>
      <c r="I2" s="932" t="s">
        <v>796</v>
      </c>
      <c r="J2" s="933"/>
    </row>
    <row r="3" spans="1:18" ht="57.75" thickBot="1">
      <c r="A3" s="960"/>
      <c r="B3" s="962"/>
      <c r="C3" s="962"/>
      <c r="D3" s="964"/>
      <c r="E3" s="460" t="s">
        <v>121</v>
      </c>
      <c r="F3" s="468" t="s">
        <v>704</v>
      </c>
      <c r="G3" s="460" t="s">
        <v>121</v>
      </c>
      <c r="H3" s="468" t="s">
        <v>704</v>
      </c>
      <c r="I3" s="478" t="s">
        <v>121</v>
      </c>
      <c r="J3" s="25" t="s">
        <v>704</v>
      </c>
    </row>
    <row r="4" spans="1:18">
      <c r="A4" s="70">
        <v>43998</v>
      </c>
      <c r="B4" s="71" t="s">
        <v>290</v>
      </c>
      <c r="C4" s="781">
        <v>372896.05</v>
      </c>
      <c r="D4" s="787">
        <f>C4</f>
        <v>372896.05</v>
      </c>
      <c r="E4" s="794">
        <v>382349.78</v>
      </c>
      <c r="F4" s="803">
        <f>IF(ISBLANK(E4),"----",E4-$D4)</f>
        <v>9453.7300000000396</v>
      </c>
      <c r="G4" s="794" t="s">
        <v>703</v>
      </c>
      <c r="H4" s="803" t="str">
        <f t="shared" ref="H4:H29" si="0">IF(OR(G4="Complete",ISBLANK(G4)),"----",G4-$D4)</f>
        <v>----</v>
      </c>
      <c r="I4" s="791" t="s">
        <v>703</v>
      </c>
      <c r="J4" s="804" t="str">
        <f t="shared" ref="J4:J29" si="1">IF(OR(I4="Complete",ISBLANK(I4)),"----",I4-$D4)</f>
        <v>----</v>
      </c>
    </row>
    <row r="5" spans="1:18">
      <c r="A5" s="88">
        <v>44089</v>
      </c>
      <c r="B5" s="101" t="s">
        <v>303</v>
      </c>
      <c r="C5" s="784">
        <v>276665.5</v>
      </c>
      <c r="D5" s="788">
        <f>C5</f>
        <v>276665.5</v>
      </c>
      <c r="E5" s="795">
        <v>273156.69</v>
      </c>
      <c r="F5" s="807">
        <f t="shared" ref="F5:F29" si="2">IF(ISBLANK(E5),"----",E5-$D5)</f>
        <v>-3508.8099999999977</v>
      </c>
      <c r="G5" s="795" t="s">
        <v>703</v>
      </c>
      <c r="H5" s="807" t="str">
        <f t="shared" si="0"/>
        <v>----</v>
      </c>
      <c r="I5" s="792" t="s">
        <v>703</v>
      </c>
      <c r="J5" s="808" t="str">
        <f t="shared" si="1"/>
        <v>----</v>
      </c>
    </row>
    <row r="6" spans="1:18">
      <c r="A6" s="91">
        <v>44124</v>
      </c>
      <c r="B6" s="92" t="s">
        <v>308</v>
      </c>
      <c r="C6" s="782">
        <f>1808794.7/2</f>
        <v>904397.35</v>
      </c>
      <c r="D6" s="797">
        <f>361758.94/2</f>
        <v>180879.47</v>
      </c>
      <c r="E6" s="799"/>
      <c r="F6" s="807" t="str">
        <f t="shared" si="2"/>
        <v>----</v>
      </c>
      <c r="G6" s="799">
        <f>(1828683.75-1462947)/2</f>
        <v>182868.375</v>
      </c>
      <c r="H6" s="807">
        <f t="shared" si="0"/>
        <v>1988.9049999999988</v>
      </c>
      <c r="I6" s="798" t="s">
        <v>703</v>
      </c>
      <c r="J6" s="808" t="str">
        <f t="shared" si="1"/>
        <v>----</v>
      </c>
      <c r="K6" t="s">
        <v>322</v>
      </c>
    </row>
    <row r="7" spans="1:18">
      <c r="A7" s="967">
        <v>44153</v>
      </c>
      <c r="B7" s="121" t="s">
        <v>325</v>
      </c>
      <c r="C7" s="725">
        <v>731263.3</v>
      </c>
      <c r="D7" s="742">
        <v>335268.3</v>
      </c>
      <c r="E7" s="756"/>
      <c r="F7" s="807" t="str">
        <f t="shared" si="2"/>
        <v>----</v>
      </c>
      <c r="G7" s="756">
        <f>732025.53-395995</f>
        <v>336030.53</v>
      </c>
      <c r="H7" s="807">
        <f t="shared" si="0"/>
        <v>762.23000000003958</v>
      </c>
      <c r="I7" s="757" t="s">
        <v>703</v>
      </c>
      <c r="J7" s="808" t="str">
        <f t="shared" si="1"/>
        <v>----</v>
      </c>
      <c r="K7" t="s">
        <v>744</v>
      </c>
      <c r="N7" s="600"/>
    </row>
    <row r="8" spans="1:18">
      <c r="A8" s="968"/>
      <c r="B8" s="121" t="s">
        <v>326</v>
      </c>
      <c r="C8" s="725">
        <v>350956.95</v>
      </c>
      <c r="D8" s="742">
        <v>77856.95</v>
      </c>
      <c r="E8" s="756"/>
      <c r="F8" s="807" t="str">
        <f t="shared" si="2"/>
        <v>----</v>
      </c>
      <c r="G8" s="756">
        <f>351552.66-273100</f>
        <v>78452.659999999974</v>
      </c>
      <c r="H8" s="807">
        <f t="shared" si="0"/>
        <v>595.7099999999773</v>
      </c>
      <c r="I8" s="757" t="s">
        <v>703</v>
      </c>
      <c r="J8" s="808" t="str">
        <f t="shared" si="1"/>
        <v>----</v>
      </c>
      <c r="K8" s="432" t="s">
        <v>746</v>
      </c>
      <c r="Q8" t="s">
        <v>748</v>
      </c>
    </row>
    <row r="9" spans="1:18">
      <c r="A9" s="968"/>
      <c r="B9" s="121" t="s">
        <v>327</v>
      </c>
      <c r="C9" s="725">
        <v>437207.5</v>
      </c>
      <c r="D9" s="742">
        <v>218727.5</v>
      </c>
      <c r="E9" s="756"/>
      <c r="F9" s="807" t="str">
        <f t="shared" si="2"/>
        <v>----</v>
      </c>
      <c r="G9" s="756">
        <f>436064.45-218480</f>
        <v>217584.45</v>
      </c>
      <c r="H9" s="807">
        <f t="shared" si="0"/>
        <v>-1143.0499999999884</v>
      </c>
      <c r="I9" s="757" t="s">
        <v>703</v>
      </c>
      <c r="J9" s="808" t="str">
        <f t="shared" si="1"/>
        <v>----</v>
      </c>
      <c r="K9" s="432" t="s">
        <v>747</v>
      </c>
      <c r="Q9" t="s">
        <v>749</v>
      </c>
    </row>
    <row r="10" spans="1:18">
      <c r="A10" s="969"/>
      <c r="B10" s="121" t="s">
        <v>328</v>
      </c>
      <c r="C10" s="725">
        <v>413012.45</v>
      </c>
      <c r="D10" s="742">
        <v>249152.45</v>
      </c>
      <c r="E10" s="756"/>
      <c r="F10" s="807" t="str">
        <f t="shared" si="2"/>
        <v>----</v>
      </c>
      <c r="G10" s="756">
        <f>458447.9-163860</f>
        <v>294587.90000000002</v>
      </c>
      <c r="H10" s="807">
        <f t="shared" si="0"/>
        <v>45435.450000000012</v>
      </c>
      <c r="I10" s="757" t="s">
        <v>703</v>
      </c>
      <c r="J10" s="808" t="str">
        <f t="shared" si="1"/>
        <v>----</v>
      </c>
      <c r="K10" s="432" t="s">
        <v>745</v>
      </c>
      <c r="R10" s="601"/>
    </row>
    <row r="11" spans="1:18">
      <c r="A11" s="120">
        <v>44180</v>
      </c>
      <c r="B11" s="121" t="s">
        <v>359</v>
      </c>
      <c r="C11" s="725">
        <v>635596.5</v>
      </c>
      <c r="D11" s="742">
        <f t="shared" ref="D11:D18" si="3">C11</f>
        <v>635596.5</v>
      </c>
      <c r="E11" s="756"/>
      <c r="F11" s="807" t="str">
        <f t="shared" si="2"/>
        <v>----</v>
      </c>
      <c r="G11" s="756">
        <v>632564.65</v>
      </c>
      <c r="H11" s="807">
        <f t="shared" si="0"/>
        <v>-3031.8499999999767</v>
      </c>
      <c r="I11" s="757" t="s">
        <v>703</v>
      </c>
      <c r="J11" s="808" t="str">
        <f t="shared" si="1"/>
        <v>----</v>
      </c>
    </row>
    <row r="12" spans="1:18">
      <c r="A12" s="120">
        <v>44460</v>
      </c>
      <c r="B12" s="121" t="s">
        <v>451</v>
      </c>
      <c r="C12" s="725">
        <v>335557.5</v>
      </c>
      <c r="D12" s="742">
        <f t="shared" si="3"/>
        <v>335557.5</v>
      </c>
      <c r="E12" s="756"/>
      <c r="F12" s="807" t="str">
        <f t="shared" si="2"/>
        <v>----</v>
      </c>
      <c r="G12" s="756">
        <v>342155.23</v>
      </c>
      <c r="H12" s="807">
        <f t="shared" si="0"/>
        <v>6597.7299999999814</v>
      </c>
      <c r="I12" s="757" t="s">
        <v>703</v>
      </c>
      <c r="J12" s="808" t="str">
        <f t="shared" si="1"/>
        <v>----</v>
      </c>
    </row>
    <row r="13" spans="1:18">
      <c r="A13" s="120">
        <v>44670</v>
      </c>
      <c r="B13" s="121" t="s">
        <v>513</v>
      </c>
      <c r="C13" s="725">
        <v>259701.6</v>
      </c>
      <c r="D13" s="742">
        <f t="shared" si="3"/>
        <v>259701.6</v>
      </c>
      <c r="E13" s="756"/>
      <c r="F13" s="807" t="str">
        <f t="shared" si="2"/>
        <v>----</v>
      </c>
      <c r="G13" s="756">
        <v>259147.81</v>
      </c>
      <c r="H13" s="807">
        <f t="shared" si="0"/>
        <v>-553.79000000000815</v>
      </c>
      <c r="I13" s="757" t="s">
        <v>703</v>
      </c>
      <c r="J13" s="808" t="str">
        <f t="shared" si="1"/>
        <v>----</v>
      </c>
    </row>
    <row r="14" spans="1:18">
      <c r="A14" s="271">
        <v>44824</v>
      </c>
      <c r="B14" s="272" t="s">
        <v>563</v>
      </c>
      <c r="C14" s="850">
        <v>485498.38</v>
      </c>
      <c r="D14" s="851">
        <f t="shared" si="3"/>
        <v>485498.38</v>
      </c>
      <c r="E14" s="852"/>
      <c r="F14" s="807" t="str">
        <f t="shared" si="2"/>
        <v>----</v>
      </c>
      <c r="G14" s="852">
        <v>472457.36</v>
      </c>
      <c r="H14" s="807">
        <f t="shared" si="0"/>
        <v>-13041.020000000019</v>
      </c>
      <c r="I14" s="757" t="s">
        <v>703</v>
      </c>
      <c r="J14" s="808" t="str">
        <f t="shared" si="1"/>
        <v>----</v>
      </c>
    </row>
    <row r="15" spans="1:18">
      <c r="A15" s="271">
        <v>45308</v>
      </c>
      <c r="B15" s="272" t="s">
        <v>707</v>
      </c>
      <c r="C15" s="850">
        <v>615355.4</v>
      </c>
      <c r="D15" s="851">
        <f t="shared" si="3"/>
        <v>615355.4</v>
      </c>
      <c r="E15" s="852"/>
      <c r="F15" s="807" t="str">
        <f t="shared" si="2"/>
        <v>----</v>
      </c>
      <c r="G15" s="852"/>
      <c r="H15" s="807" t="str">
        <f t="shared" si="0"/>
        <v>----</v>
      </c>
      <c r="I15" s="853"/>
      <c r="J15" s="808" t="str">
        <f t="shared" si="1"/>
        <v>----</v>
      </c>
    </row>
    <row r="16" spans="1:18">
      <c r="A16" s="271">
        <v>45398</v>
      </c>
      <c r="B16" s="272" t="s">
        <v>736</v>
      </c>
      <c r="C16" s="850">
        <v>453169.25</v>
      </c>
      <c r="D16" s="851">
        <f t="shared" si="3"/>
        <v>453169.25</v>
      </c>
      <c r="E16" s="852"/>
      <c r="F16" s="807" t="str">
        <f t="shared" si="2"/>
        <v>----</v>
      </c>
      <c r="G16" s="852"/>
      <c r="H16" s="807" t="str">
        <f t="shared" si="0"/>
        <v>----</v>
      </c>
      <c r="I16" s="853"/>
      <c r="J16" s="808" t="str">
        <f t="shared" si="1"/>
        <v>----</v>
      </c>
    </row>
    <row r="17" spans="1:10">
      <c r="A17" s="271">
        <v>45398</v>
      </c>
      <c r="B17" s="272" t="s">
        <v>737</v>
      </c>
      <c r="C17" s="850">
        <v>274495.75</v>
      </c>
      <c r="D17" s="851">
        <f t="shared" si="3"/>
        <v>274495.75</v>
      </c>
      <c r="E17" s="852"/>
      <c r="F17" s="807" t="str">
        <f t="shared" si="2"/>
        <v>----</v>
      </c>
      <c r="G17" s="852"/>
      <c r="H17" s="807" t="str">
        <f t="shared" si="0"/>
        <v>----</v>
      </c>
      <c r="I17" s="853"/>
      <c r="J17" s="808" t="str">
        <f t="shared" si="1"/>
        <v>----</v>
      </c>
    </row>
    <row r="18" spans="1:10">
      <c r="A18" s="271">
        <v>45615</v>
      </c>
      <c r="B18" s="272" t="s">
        <v>779</v>
      </c>
      <c r="C18" s="850">
        <v>459494.21</v>
      </c>
      <c r="D18" s="851">
        <f t="shared" si="3"/>
        <v>459494.21</v>
      </c>
      <c r="E18" s="852"/>
      <c r="F18" s="807" t="str">
        <f t="shared" si="2"/>
        <v>----</v>
      </c>
      <c r="G18" s="852"/>
      <c r="H18" s="807" t="str">
        <f t="shared" si="0"/>
        <v>----</v>
      </c>
      <c r="I18" s="853"/>
      <c r="J18" s="808" t="str">
        <f t="shared" si="1"/>
        <v>----</v>
      </c>
    </row>
    <row r="19" spans="1:10">
      <c r="A19" s="271">
        <v>45762</v>
      </c>
      <c r="B19" s="272" t="s">
        <v>868</v>
      </c>
      <c r="C19" s="850">
        <v>362083.5</v>
      </c>
      <c r="D19" s="851">
        <f>C19</f>
        <v>362083.5</v>
      </c>
      <c r="E19" s="852"/>
      <c r="F19" s="807" t="str">
        <f t="shared" si="2"/>
        <v>----</v>
      </c>
      <c r="G19" s="852"/>
      <c r="H19" s="807" t="str">
        <f t="shared" si="0"/>
        <v>----</v>
      </c>
      <c r="I19" s="853"/>
      <c r="J19" s="808" t="str">
        <f t="shared" si="1"/>
        <v>----</v>
      </c>
    </row>
    <row r="20" spans="1:10">
      <c r="A20" s="271">
        <v>45888</v>
      </c>
      <c r="B20" s="272" t="s">
        <v>893</v>
      </c>
      <c r="C20" s="850">
        <v>312845.15000000002</v>
      </c>
      <c r="D20" s="851">
        <f>C20</f>
        <v>312845.15000000002</v>
      </c>
      <c r="E20" s="852"/>
      <c r="F20" s="807" t="str">
        <f t="shared" si="2"/>
        <v>----</v>
      </c>
      <c r="G20" s="852"/>
      <c r="H20" s="807" t="str">
        <f t="shared" si="0"/>
        <v>----</v>
      </c>
      <c r="I20" s="853"/>
      <c r="J20" s="808" t="str">
        <f t="shared" si="1"/>
        <v>----</v>
      </c>
    </row>
    <row r="21" spans="1:10" s="780" customFormat="1">
      <c r="A21" s="271">
        <v>45888</v>
      </c>
      <c r="B21" s="272" t="s">
        <v>894</v>
      </c>
      <c r="C21" s="850">
        <v>523671.02</v>
      </c>
      <c r="D21" s="851">
        <f>C21</f>
        <v>523671.02</v>
      </c>
      <c r="E21" s="852"/>
      <c r="F21" s="807" t="str">
        <f t="shared" ref="F21:F27" si="4">IF(ISBLANK(E21),"----",E21-$D21)</f>
        <v>----</v>
      </c>
      <c r="G21" s="852"/>
      <c r="H21" s="807" t="str">
        <f t="shared" ref="H21:H27" si="5">IF(OR(G21="Complete",ISBLANK(G21)),"----",G21-$D21)</f>
        <v>----</v>
      </c>
      <c r="I21" s="853"/>
      <c r="J21" s="808" t="str">
        <f t="shared" ref="J21:J27" si="6">IF(OR(I21="Complete",ISBLANK(I21)),"----",I21-$D21)</f>
        <v>----</v>
      </c>
    </row>
    <row r="22" spans="1:10" s="780" customFormat="1">
      <c r="A22" s="271"/>
      <c r="B22" s="272"/>
      <c r="C22" s="850"/>
      <c r="D22" s="851"/>
      <c r="E22" s="852"/>
      <c r="F22" s="807" t="str">
        <f t="shared" si="4"/>
        <v>----</v>
      </c>
      <c r="G22" s="852"/>
      <c r="H22" s="807" t="str">
        <f t="shared" si="5"/>
        <v>----</v>
      </c>
      <c r="I22" s="853"/>
      <c r="J22" s="808" t="str">
        <f t="shared" si="6"/>
        <v>----</v>
      </c>
    </row>
    <row r="23" spans="1:10" s="780" customFormat="1">
      <c r="A23" s="271"/>
      <c r="B23" s="272"/>
      <c r="C23" s="850"/>
      <c r="D23" s="851"/>
      <c r="E23" s="852"/>
      <c r="F23" s="807" t="str">
        <f t="shared" si="4"/>
        <v>----</v>
      </c>
      <c r="G23" s="852"/>
      <c r="H23" s="807" t="str">
        <f t="shared" si="5"/>
        <v>----</v>
      </c>
      <c r="I23" s="853"/>
      <c r="J23" s="808" t="str">
        <f t="shared" si="6"/>
        <v>----</v>
      </c>
    </row>
    <row r="24" spans="1:10" s="780" customFormat="1">
      <c r="A24" s="271"/>
      <c r="B24" s="272"/>
      <c r="C24" s="850"/>
      <c r="D24" s="851"/>
      <c r="E24" s="852"/>
      <c r="F24" s="807" t="str">
        <f t="shared" si="4"/>
        <v>----</v>
      </c>
      <c r="G24" s="852"/>
      <c r="H24" s="807" t="str">
        <f t="shared" si="5"/>
        <v>----</v>
      </c>
      <c r="I24" s="853"/>
      <c r="J24" s="808" t="str">
        <f t="shared" si="6"/>
        <v>----</v>
      </c>
    </row>
    <row r="25" spans="1:10" s="780" customFormat="1">
      <c r="A25" s="271"/>
      <c r="B25" s="272"/>
      <c r="C25" s="850"/>
      <c r="D25" s="851"/>
      <c r="E25" s="852"/>
      <c r="F25" s="807" t="str">
        <f t="shared" si="4"/>
        <v>----</v>
      </c>
      <c r="G25" s="852"/>
      <c r="H25" s="807" t="str">
        <f t="shared" si="5"/>
        <v>----</v>
      </c>
      <c r="I25" s="853"/>
      <c r="J25" s="808" t="str">
        <f t="shared" si="6"/>
        <v>----</v>
      </c>
    </row>
    <row r="26" spans="1:10" s="780" customFormat="1">
      <c r="A26" s="271"/>
      <c r="B26" s="272"/>
      <c r="C26" s="850"/>
      <c r="D26" s="851"/>
      <c r="E26" s="852"/>
      <c r="F26" s="807" t="str">
        <f t="shared" si="4"/>
        <v>----</v>
      </c>
      <c r="G26" s="852"/>
      <c r="H26" s="807" t="str">
        <f t="shared" si="5"/>
        <v>----</v>
      </c>
      <c r="I26" s="853"/>
      <c r="J26" s="808" t="str">
        <f t="shared" si="6"/>
        <v>----</v>
      </c>
    </row>
    <row r="27" spans="1:10" s="780" customFormat="1">
      <c r="A27" s="271"/>
      <c r="B27" s="272"/>
      <c r="C27" s="850"/>
      <c r="D27" s="851"/>
      <c r="E27" s="852"/>
      <c r="F27" s="807" t="str">
        <f t="shared" si="4"/>
        <v>----</v>
      </c>
      <c r="G27" s="852"/>
      <c r="H27" s="807" t="str">
        <f t="shared" si="5"/>
        <v>----</v>
      </c>
      <c r="I27" s="853"/>
      <c r="J27" s="808" t="str">
        <f t="shared" si="6"/>
        <v>----</v>
      </c>
    </row>
    <row r="28" spans="1:10">
      <c r="A28" s="123"/>
      <c r="B28" s="124"/>
      <c r="C28" s="726"/>
      <c r="D28" s="743"/>
      <c r="E28" s="764"/>
      <c r="F28" s="807" t="str">
        <f t="shared" si="2"/>
        <v>----</v>
      </c>
      <c r="G28" s="764"/>
      <c r="H28" s="807" t="str">
        <f t="shared" si="0"/>
        <v>----</v>
      </c>
      <c r="I28" s="765"/>
      <c r="J28" s="808" t="str">
        <f t="shared" si="1"/>
        <v>----</v>
      </c>
    </row>
    <row r="29" spans="1:10" ht="15.75" thickBot="1">
      <c r="A29" s="74"/>
      <c r="B29" s="75"/>
      <c r="C29" s="783"/>
      <c r="D29" s="790"/>
      <c r="E29" s="796"/>
      <c r="F29" s="801" t="str">
        <f t="shared" si="2"/>
        <v>----</v>
      </c>
      <c r="G29" s="796"/>
      <c r="H29" s="801" t="str">
        <f t="shared" si="0"/>
        <v>----</v>
      </c>
      <c r="I29" s="793"/>
      <c r="J29" s="802" t="str">
        <f t="shared" si="1"/>
        <v>----</v>
      </c>
    </row>
    <row r="30" spans="1:10" ht="15.75" thickBot="1">
      <c r="A30" s="27"/>
      <c r="B30" s="27"/>
      <c r="C30" s="814"/>
      <c r="D30" s="814"/>
      <c r="E30" s="814"/>
      <c r="F30" s="815">
        <f>SUM(F4:F29)</f>
        <v>5944.9200000000419</v>
      </c>
      <c r="G30" s="814"/>
      <c r="H30" s="815">
        <f>SUM(H4:H29)</f>
        <v>37610.315000000017</v>
      </c>
      <c r="I30" s="814"/>
      <c r="J30" s="815">
        <f>SUM(J4:J29)</f>
        <v>0</v>
      </c>
    </row>
    <row r="31" spans="1:10">
      <c r="C31" s="719"/>
      <c r="D31" s="719"/>
      <c r="E31" s="719"/>
      <c r="F31" s="719"/>
      <c r="G31" s="719"/>
      <c r="H31" s="719"/>
      <c r="I31" s="719"/>
      <c r="J31" s="719"/>
    </row>
  </sheetData>
  <mergeCells count="9">
    <mergeCell ref="A1:J1"/>
    <mergeCell ref="A7:A10"/>
    <mergeCell ref="E2:F2"/>
    <mergeCell ref="I2:J2"/>
    <mergeCell ref="A2:A3"/>
    <mergeCell ref="B2:B3"/>
    <mergeCell ref="C2:C3"/>
    <mergeCell ref="D2:D3"/>
    <mergeCell ref="G2:H2"/>
  </mergeCells>
  <phoneticPr fontId="17" type="noConversion"/>
  <pageMargins left="0.7" right="0.7" top="0.75" bottom="0.75" header="0.3" footer="0.3"/>
  <pageSetup orientation="portrait" horizontalDpi="1200" verticalDpi="120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9FCF6-B117-420D-8B1B-80ABF66D1F9E}">
  <dimension ref="A1:K22"/>
  <sheetViews>
    <sheetView workbookViewId="0">
      <selection activeCell="I11" sqref="I11"/>
    </sheetView>
  </sheetViews>
  <sheetFormatPr defaultRowHeight="15"/>
  <cols>
    <col min="2" max="2" width="16.28515625" bestFit="1" customWidth="1"/>
    <col min="3" max="3" width="12.5703125" bestFit="1" customWidth="1"/>
    <col min="4" max="4" width="16.42578125" customWidth="1"/>
    <col min="5" max="8" width="9.140625" style="432"/>
  </cols>
  <sheetData>
    <row r="1" spans="1:11" ht="15.75" thickBot="1">
      <c r="A1" s="952" t="s">
        <v>283</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69" thickBot="1">
      <c r="A3" s="960"/>
      <c r="B3" s="962"/>
      <c r="C3" s="962"/>
      <c r="D3" s="974"/>
      <c r="E3" s="460" t="s">
        <v>121</v>
      </c>
      <c r="F3" s="468" t="s">
        <v>113</v>
      </c>
      <c r="G3" s="460" t="s">
        <v>121</v>
      </c>
      <c r="H3" s="468" t="s">
        <v>113</v>
      </c>
      <c r="I3" s="478" t="s">
        <v>121</v>
      </c>
      <c r="J3" s="25" t="s">
        <v>113</v>
      </c>
    </row>
    <row r="4" spans="1:11">
      <c r="A4" s="70">
        <v>45433</v>
      </c>
      <c r="B4" s="71" t="s">
        <v>750</v>
      </c>
      <c r="C4" s="725">
        <f>696240.42/2</f>
        <v>348120.21</v>
      </c>
      <c r="D4" s="742">
        <f>C4</f>
        <v>348120.21</v>
      </c>
      <c r="E4" s="794"/>
      <c r="F4" s="803" t="str">
        <f>IF(ISBLANK(E4),"----",E4-D4)</f>
        <v>----</v>
      </c>
      <c r="G4" s="794"/>
      <c r="H4" s="803" t="str">
        <f>IF(OR(G4="Complete",ISBLANK(G4)),"----",G4-$D4)</f>
        <v>----</v>
      </c>
      <c r="I4" s="791"/>
      <c r="J4" s="804" t="str">
        <f>IF(OR(I4="Complete",ISBLANK(I4)),"----",I4-$D4)</f>
        <v>----</v>
      </c>
      <c r="K4" t="s">
        <v>773</v>
      </c>
    </row>
    <row r="5" spans="1:11">
      <c r="A5" s="88">
        <v>45952</v>
      </c>
      <c r="B5" s="101" t="s">
        <v>909</v>
      </c>
      <c r="C5" s="784">
        <v>1246643.1499999999</v>
      </c>
      <c r="D5" s="788">
        <f>C5</f>
        <v>1246643.1499999999</v>
      </c>
      <c r="E5" s="795"/>
      <c r="F5" s="807" t="str">
        <f>IF(ISBLANK(E5),"----",E5-D5)</f>
        <v>----</v>
      </c>
      <c r="G5" s="795"/>
      <c r="H5" s="807" t="str">
        <f>IF(OR(G5="Complete",ISBLANK(G5)),"----",G5-$D5)</f>
        <v>----</v>
      </c>
      <c r="I5" s="792"/>
      <c r="J5" s="808" t="str">
        <f>IF(OR(I5="Complete",ISBLANK(I5)),"----",I5-$D5)</f>
        <v>----</v>
      </c>
    </row>
    <row r="6" spans="1:11" s="780" customFormat="1">
      <c r="A6" s="696"/>
      <c r="B6" s="697"/>
      <c r="C6" s="784"/>
      <c r="D6" s="788"/>
      <c r="E6" s="795"/>
      <c r="F6" s="807" t="str">
        <f t="shared" ref="F6:F20" si="0">IF(ISBLANK(E6),"----",E6-D6)</f>
        <v>----</v>
      </c>
      <c r="G6" s="795"/>
      <c r="H6" s="807" t="str">
        <f t="shared" ref="H6:H20" si="1">IF(OR(G6="Complete",ISBLANK(G6)),"----",G6-$D6)</f>
        <v>----</v>
      </c>
      <c r="I6" s="792"/>
      <c r="J6" s="808" t="str">
        <f t="shared" ref="J6:J20" si="2">IF(OR(I6="Complete",ISBLANK(I6)),"----",I6-$D6)</f>
        <v>----</v>
      </c>
    </row>
    <row r="7" spans="1:11" s="780" customFormat="1">
      <c r="A7" s="696"/>
      <c r="B7" s="697"/>
      <c r="C7" s="784"/>
      <c r="D7" s="788"/>
      <c r="E7" s="795"/>
      <c r="F7" s="807" t="str">
        <f t="shared" si="0"/>
        <v>----</v>
      </c>
      <c r="G7" s="795"/>
      <c r="H7" s="807" t="str">
        <f t="shared" si="1"/>
        <v>----</v>
      </c>
      <c r="I7" s="792"/>
      <c r="J7" s="808" t="str">
        <f t="shared" si="2"/>
        <v>----</v>
      </c>
    </row>
    <row r="8" spans="1:11" s="780" customFormat="1">
      <c r="A8" s="696"/>
      <c r="B8" s="697"/>
      <c r="C8" s="784"/>
      <c r="D8" s="788"/>
      <c r="E8" s="795"/>
      <c r="F8" s="807" t="str">
        <f t="shared" si="0"/>
        <v>----</v>
      </c>
      <c r="G8" s="795"/>
      <c r="H8" s="807" t="str">
        <f t="shared" si="1"/>
        <v>----</v>
      </c>
      <c r="I8" s="792"/>
      <c r="J8" s="808" t="str">
        <f t="shared" si="2"/>
        <v>----</v>
      </c>
    </row>
    <row r="9" spans="1:11" s="780" customFormat="1">
      <c r="A9" s="696"/>
      <c r="B9" s="697"/>
      <c r="C9" s="784"/>
      <c r="D9" s="788"/>
      <c r="E9" s="795"/>
      <c r="F9" s="807" t="str">
        <f t="shared" si="0"/>
        <v>----</v>
      </c>
      <c r="G9" s="795"/>
      <c r="H9" s="807" t="str">
        <f t="shared" si="1"/>
        <v>----</v>
      </c>
      <c r="I9" s="792"/>
      <c r="J9" s="808" t="str">
        <f t="shared" si="2"/>
        <v>----</v>
      </c>
    </row>
    <row r="10" spans="1:11" s="780" customFormat="1">
      <c r="A10" s="696"/>
      <c r="B10" s="697"/>
      <c r="C10" s="784"/>
      <c r="D10" s="788"/>
      <c r="E10" s="795"/>
      <c r="F10" s="807" t="str">
        <f t="shared" si="0"/>
        <v>----</v>
      </c>
      <c r="G10" s="795"/>
      <c r="H10" s="807" t="str">
        <f t="shared" si="1"/>
        <v>----</v>
      </c>
      <c r="I10" s="792"/>
      <c r="J10" s="808" t="str">
        <f t="shared" si="2"/>
        <v>----</v>
      </c>
    </row>
    <row r="11" spans="1:11" s="780" customFormat="1">
      <c r="A11" s="696"/>
      <c r="B11" s="697"/>
      <c r="C11" s="784"/>
      <c r="D11" s="788"/>
      <c r="E11" s="795"/>
      <c r="F11" s="807" t="str">
        <f t="shared" si="0"/>
        <v>----</v>
      </c>
      <c r="G11" s="795"/>
      <c r="H11" s="807" t="str">
        <f t="shared" si="1"/>
        <v>----</v>
      </c>
      <c r="I11" s="792"/>
      <c r="J11" s="808" t="str">
        <f t="shared" si="2"/>
        <v>----</v>
      </c>
    </row>
    <row r="12" spans="1:11" s="780" customFormat="1">
      <c r="A12" s="696"/>
      <c r="B12" s="697"/>
      <c r="C12" s="784"/>
      <c r="D12" s="788"/>
      <c r="E12" s="795"/>
      <c r="F12" s="807" t="str">
        <f t="shared" si="0"/>
        <v>----</v>
      </c>
      <c r="G12" s="795"/>
      <c r="H12" s="807" t="str">
        <f t="shared" si="1"/>
        <v>----</v>
      </c>
      <c r="I12" s="792"/>
      <c r="J12" s="808" t="str">
        <f t="shared" si="2"/>
        <v>----</v>
      </c>
    </row>
    <row r="13" spans="1:11" s="780" customFormat="1">
      <c r="A13" s="696"/>
      <c r="B13" s="697"/>
      <c r="C13" s="784"/>
      <c r="D13" s="788"/>
      <c r="E13" s="795"/>
      <c r="F13" s="807" t="str">
        <f t="shared" si="0"/>
        <v>----</v>
      </c>
      <c r="G13" s="795"/>
      <c r="H13" s="807" t="str">
        <f t="shared" si="1"/>
        <v>----</v>
      </c>
      <c r="I13" s="792"/>
      <c r="J13" s="808" t="str">
        <f t="shared" si="2"/>
        <v>----</v>
      </c>
    </row>
    <row r="14" spans="1:11" s="780" customFormat="1">
      <c r="A14" s="696"/>
      <c r="B14" s="697"/>
      <c r="C14" s="784"/>
      <c r="D14" s="788"/>
      <c r="E14" s="795"/>
      <c r="F14" s="807" t="str">
        <f t="shared" si="0"/>
        <v>----</v>
      </c>
      <c r="G14" s="795"/>
      <c r="H14" s="807" t="str">
        <f t="shared" si="1"/>
        <v>----</v>
      </c>
      <c r="I14" s="792"/>
      <c r="J14" s="808" t="str">
        <f t="shared" si="2"/>
        <v>----</v>
      </c>
    </row>
    <row r="15" spans="1:11" s="780" customFormat="1">
      <c r="A15" s="696"/>
      <c r="B15" s="697"/>
      <c r="C15" s="784"/>
      <c r="D15" s="788"/>
      <c r="E15" s="795"/>
      <c r="F15" s="807" t="str">
        <f t="shared" si="0"/>
        <v>----</v>
      </c>
      <c r="G15" s="795"/>
      <c r="H15" s="807" t="str">
        <f t="shared" si="1"/>
        <v>----</v>
      </c>
      <c r="I15" s="792"/>
      <c r="J15" s="808" t="str">
        <f t="shared" si="2"/>
        <v>----</v>
      </c>
    </row>
    <row r="16" spans="1:11" s="780" customFormat="1">
      <c r="A16" s="696"/>
      <c r="B16" s="697"/>
      <c r="C16" s="784"/>
      <c r="D16" s="788"/>
      <c r="E16" s="795"/>
      <c r="F16" s="807" t="str">
        <f t="shared" si="0"/>
        <v>----</v>
      </c>
      <c r="G16" s="795"/>
      <c r="H16" s="807" t="str">
        <f t="shared" si="1"/>
        <v>----</v>
      </c>
      <c r="I16" s="792"/>
      <c r="J16" s="808" t="str">
        <f t="shared" si="2"/>
        <v>----</v>
      </c>
    </row>
    <row r="17" spans="1:10" s="780" customFormat="1">
      <c r="A17" s="696"/>
      <c r="B17" s="697"/>
      <c r="C17" s="784"/>
      <c r="D17" s="788"/>
      <c r="E17" s="795"/>
      <c r="F17" s="807" t="str">
        <f t="shared" si="0"/>
        <v>----</v>
      </c>
      <c r="G17" s="795"/>
      <c r="H17" s="807" t="str">
        <f t="shared" si="1"/>
        <v>----</v>
      </c>
      <c r="I17" s="792"/>
      <c r="J17" s="808" t="str">
        <f t="shared" si="2"/>
        <v>----</v>
      </c>
    </row>
    <row r="18" spans="1:10" s="780" customFormat="1">
      <c r="A18" s="696"/>
      <c r="B18" s="697"/>
      <c r="C18" s="784"/>
      <c r="D18" s="788"/>
      <c r="E18" s="795"/>
      <c r="F18" s="807" t="str">
        <f t="shared" si="0"/>
        <v>----</v>
      </c>
      <c r="G18" s="795"/>
      <c r="H18" s="807" t="str">
        <f t="shared" si="1"/>
        <v>----</v>
      </c>
      <c r="I18" s="792"/>
      <c r="J18" s="808" t="str">
        <f t="shared" si="2"/>
        <v>----</v>
      </c>
    </row>
    <row r="19" spans="1:10" s="780" customFormat="1">
      <c r="A19" s="696"/>
      <c r="B19" s="697"/>
      <c r="C19" s="784"/>
      <c r="D19" s="788"/>
      <c r="E19" s="795"/>
      <c r="F19" s="807" t="str">
        <f t="shared" si="0"/>
        <v>----</v>
      </c>
      <c r="G19" s="795"/>
      <c r="H19" s="807" t="str">
        <f t="shared" si="1"/>
        <v>----</v>
      </c>
      <c r="I19" s="792"/>
      <c r="J19" s="808" t="str">
        <f t="shared" si="2"/>
        <v>----</v>
      </c>
    </row>
    <row r="20" spans="1:10">
      <c r="A20" s="696"/>
      <c r="B20" s="697"/>
      <c r="C20" s="784"/>
      <c r="D20" s="788"/>
      <c r="E20" s="795"/>
      <c r="F20" s="807" t="str">
        <f t="shared" si="0"/>
        <v>----</v>
      </c>
      <c r="G20" s="795"/>
      <c r="H20" s="807" t="str">
        <f t="shared" si="1"/>
        <v>----</v>
      </c>
      <c r="I20" s="792"/>
      <c r="J20" s="808" t="str">
        <f t="shared" si="2"/>
        <v>----</v>
      </c>
    </row>
    <row r="21" spans="1:10" ht="15.75" thickBot="1">
      <c r="A21" s="74"/>
      <c r="B21" s="75"/>
      <c r="C21" s="783"/>
      <c r="D21" s="790"/>
      <c r="E21" s="796"/>
      <c r="F21" s="801" t="str">
        <f>IF(ISBLANK(E21),"----",E21-D21)</f>
        <v>----</v>
      </c>
      <c r="G21" s="796"/>
      <c r="H21" s="801" t="str">
        <f>IF(OR(G21="Complete",ISBLANK(G21)),"----",G21-$D21)</f>
        <v>----</v>
      </c>
      <c r="I21" s="793"/>
      <c r="J21" s="802" t="str">
        <f>IF(OR(I21="Complete",ISBLANK(I21)),"----",I21-$D21)</f>
        <v>----</v>
      </c>
    </row>
    <row r="22" spans="1:10" ht="15.75" thickBot="1">
      <c r="A22" s="27"/>
      <c r="B22" s="27"/>
      <c r="C22" s="28"/>
      <c r="D22" s="28"/>
      <c r="E22" s="439"/>
      <c r="F22" s="441">
        <f>SUM(F4:F21)</f>
        <v>0</v>
      </c>
      <c r="G22" s="439"/>
      <c r="H22" s="441">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55D7B-150A-453D-A383-60C4E8250EF0}">
  <dimension ref="A1:J25"/>
  <sheetViews>
    <sheetView workbookViewId="0">
      <selection activeCell="F13" sqref="F13"/>
    </sheetView>
  </sheetViews>
  <sheetFormatPr defaultRowHeight="15"/>
  <cols>
    <col min="2" max="2" width="22.7109375" bestFit="1" customWidth="1"/>
    <col min="3" max="4" width="10.7109375" bestFit="1" customWidth="1"/>
    <col min="5" max="5" width="10.7109375" style="432" bestFit="1" customWidth="1"/>
    <col min="6" max="6" width="9.85546875" style="432" bestFit="1" customWidth="1"/>
    <col min="7" max="7" width="10.7109375" style="432" bestFit="1" customWidth="1"/>
    <col min="8" max="8" width="9.85546875" style="432" bestFit="1" customWidth="1"/>
    <col min="9" max="9" width="10.7109375" bestFit="1" customWidth="1"/>
    <col min="10" max="10" width="9.85546875" bestFit="1" customWidth="1"/>
  </cols>
  <sheetData>
    <row r="1" spans="1:10" ht="15.75" thickBot="1">
      <c r="A1" s="952" t="s">
        <v>284</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57.75" thickBot="1">
      <c r="A3" s="960"/>
      <c r="B3" s="962"/>
      <c r="C3" s="962"/>
      <c r="D3" s="974"/>
      <c r="E3" s="460" t="s">
        <v>121</v>
      </c>
      <c r="F3" s="468" t="s">
        <v>113</v>
      </c>
      <c r="G3" s="460" t="s">
        <v>121</v>
      </c>
      <c r="H3" s="468" t="s">
        <v>113</v>
      </c>
      <c r="I3" s="478" t="s">
        <v>121</v>
      </c>
      <c r="J3" s="25" t="s">
        <v>113</v>
      </c>
    </row>
    <row r="4" spans="1:10">
      <c r="A4" s="70">
        <v>44033</v>
      </c>
      <c r="B4" s="71" t="s">
        <v>299</v>
      </c>
      <c r="C4" s="781">
        <v>480134.27</v>
      </c>
      <c r="D4" s="787">
        <f>C4</f>
        <v>480134.27</v>
      </c>
      <c r="E4" s="794">
        <v>492254.22</v>
      </c>
      <c r="F4" s="803">
        <f t="shared" ref="F4:F24" si="0">IF(ISBLANK(E4),"----",E4-D4)</f>
        <v>12119.949999999953</v>
      </c>
      <c r="G4" s="794" t="s">
        <v>703</v>
      </c>
      <c r="H4" s="803" t="str">
        <f t="shared" ref="H4:H24" si="1">IF(OR(G4="Complete",ISBLANK(G4)),"----",G4-$D4)</f>
        <v>----</v>
      </c>
      <c r="I4" s="791" t="s">
        <v>703</v>
      </c>
      <c r="J4" s="804" t="str">
        <f t="shared" ref="J4:J24" si="2">IF(OR(I4="Complete",ISBLANK(I4)),"----",I4-$D4)</f>
        <v>----</v>
      </c>
    </row>
    <row r="5" spans="1:10">
      <c r="A5" s="88">
        <v>44362</v>
      </c>
      <c r="B5" s="101" t="s">
        <v>433</v>
      </c>
      <c r="C5" s="784">
        <v>278138.5</v>
      </c>
      <c r="D5" s="788">
        <f>C5</f>
        <v>278138.5</v>
      </c>
      <c r="E5" s="795">
        <v>295152.18</v>
      </c>
      <c r="F5" s="807">
        <f t="shared" si="0"/>
        <v>17013.679999999993</v>
      </c>
      <c r="G5" s="795" t="s">
        <v>703</v>
      </c>
      <c r="H5" s="807" t="str">
        <f t="shared" si="1"/>
        <v>----</v>
      </c>
      <c r="I5" s="792" t="s">
        <v>703</v>
      </c>
      <c r="J5" s="808" t="str">
        <f t="shared" si="2"/>
        <v>----</v>
      </c>
    </row>
    <row r="6" spans="1:10">
      <c r="A6" s="102">
        <v>45797</v>
      </c>
      <c r="B6" s="721" t="s">
        <v>877</v>
      </c>
      <c r="C6" s="770">
        <v>768171.6</v>
      </c>
      <c r="D6" s="729">
        <f>C6</f>
        <v>768171.6</v>
      </c>
      <c r="E6" s="739"/>
      <c r="F6" s="771" t="str">
        <f t="shared" si="0"/>
        <v>----</v>
      </c>
      <c r="G6" s="739"/>
      <c r="H6" s="771" t="str">
        <f t="shared" si="1"/>
        <v>----</v>
      </c>
      <c r="I6" s="734"/>
      <c r="J6" s="772" t="str">
        <f t="shared" si="2"/>
        <v>----</v>
      </c>
    </row>
    <row r="7" spans="1:10">
      <c r="A7" s="102">
        <v>45797</v>
      </c>
      <c r="B7" s="721" t="s">
        <v>878</v>
      </c>
      <c r="C7" s="770">
        <v>900801.25</v>
      </c>
      <c r="D7" s="729">
        <f>C7</f>
        <v>900801.25</v>
      </c>
      <c r="E7" s="739"/>
      <c r="F7" s="771" t="str">
        <f t="shared" si="0"/>
        <v>----</v>
      </c>
      <c r="G7" s="739"/>
      <c r="H7" s="771" t="str">
        <f t="shared" si="1"/>
        <v>----</v>
      </c>
      <c r="I7" s="734"/>
      <c r="J7" s="772" t="str">
        <f t="shared" si="2"/>
        <v>----</v>
      </c>
    </row>
    <row r="8" spans="1:10">
      <c r="A8" s="102"/>
      <c r="B8" s="103"/>
      <c r="C8" s="770"/>
      <c r="D8" s="729"/>
      <c r="E8" s="739"/>
      <c r="F8" s="771" t="str">
        <f t="shared" si="0"/>
        <v>----</v>
      </c>
      <c r="G8" s="739"/>
      <c r="H8" s="771" t="str">
        <f t="shared" si="1"/>
        <v>----</v>
      </c>
      <c r="I8" s="734"/>
      <c r="J8" s="772" t="str">
        <f t="shared" si="2"/>
        <v>----</v>
      </c>
    </row>
    <row r="9" spans="1:10">
      <c r="A9" s="102"/>
      <c r="B9" s="103"/>
      <c r="C9" s="770"/>
      <c r="D9" s="729"/>
      <c r="E9" s="739"/>
      <c r="F9" s="771" t="str">
        <f t="shared" si="0"/>
        <v>----</v>
      </c>
      <c r="G9" s="739"/>
      <c r="H9" s="771" t="str">
        <f t="shared" si="1"/>
        <v>----</v>
      </c>
      <c r="I9" s="734"/>
      <c r="J9" s="772" t="str">
        <f t="shared" si="2"/>
        <v>----</v>
      </c>
    </row>
    <row r="10" spans="1:10">
      <c r="A10" s="102"/>
      <c r="B10" s="103"/>
      <c r="C10" s="770"/>
      <c r="D10" s="729"/>
      <c r="E10" s="739"/>
      <c r="F10" s="771" t="str">
        <f t="shared" si="0"/>
        <v>----</v>
      </c>
      <c r="G10" s="739"/>
      <c r="H10" s="771" t="str">
        <f t="shared" si="1"/>
        <v>----</v>
      </c>
      <c r="I10" s="734"/>
      <c r="J10" s="772" t="str">
        <f t="shared" si="2"/>
        <v>----</v>
      </c>
    </row>
    <row r="11" spans="1:10">
      <c r="A11" s="102"/>
      <c r="B11" s="103"/>
      <c r="C11" s="770"/>
      <c r="D11" s="729"/>
      <c r="E11" s="739"/>
      <c r="F11" s="771" t="str">
        <f t="shared" si="0"/>
        <v>----</v>
      </c>
      <c r="G11" s="739"/>
      <c r="H11" s="771" t="str">
        <f t="shared" si="1"/>
        <v>----</v>
      </c>
      <c r="I11" s="734"/>
      <c r="J11" s="772" t="str">
        <f t="shared" si="2"/>
        <v>----</v>
      </c>
    </row>
    <row r="12" spans="1:10">
      <c r="A12" s="102"/>
      <c r="B12" s="103"/>
      <c r="C12" s="770"/>
      <c r="D12" s="729"/>
      <c r="E12" s="739"/>
      <c r="F12" s="771" t="str">
        <f t="shared" si="0"/>
        <v>----</v>
      </c>
      <c r="G12" s="739"/>
      <c r="H12" s="771" t="str">
        <f t="shared" si="1"/>
        <v>----</v>
      </c>
      <c r="I12" s="734"/>
      <c r="J12" s="772" t="str">
        <f t="shared" si="2"/>
        <v>----</v>
      </c>
    </row>
    <row r="13" spans="1:10">
      <c r="A13" s="102"/>
      <c r="B13" s="103"/>
      <c r="C13" s="770"/>
      <c r="D13" s="729"/>
      <c r="E13" s="739"/>
      <c r="F13" s="771" t="str">
        <f t="shared" si="0"/>
        <v>----</v>
      </c>
      <c r="G13" s="739"/>
      <c r="H13" s="771" t="str">
        <f t="shared" si="1"/>
        <v>----</v>
      </c>
      <c r="I13" s="734"/>
      <c r="J13" s="772" t="str">
        <f t="shared" si="2"/>
        <v>----</v>
      </c>
    </row>
    <row r="14" spans="1:10">
      <c r="A14" s="102"/>
      <c r="B14" s="103"/>
      <c r="C14" s="770"/>
      <c r="D14" s="729"/>
      <c r="E14" s="739"/>
      <c r="F14" s="771" t="str">
        <f t="shared" si="0"/>
        <v>----</v>
      </c>
      <c r="G14" s="739"/>
      <c r="H14" s="771" t="str">
        <f t="shared" si="1"/>
        <v>----</v>
      </c>
      <c r="I14" s="734"/>
      <c r="J14" s="772" t="str">
        <f t="shared" si="2"/>
        <v>----</v>
      </c>
    </row>
    <row r="15" spans="1:10">
      <c r="A15" s="102"/>
      <c r="B15" s="103"/>
      <c r="C15" s="770"/>
      <c r="D15" s="729"/>
      <c r="E15" s="739"/>
      <c r="F15" s="771" t="str">
        <f t="shared" si="0"/>
        <v>----</v>
      </c>
      <c r="G15" s="739"/>
      <c r="H15" s="771" t="str">
        <f t="shared" si="1"/>
        <v>----</v>
      </c>
      <c r="I15" s="734"/>
      <c r="J15" s="772" t="str">
        <f t="shared" si="2"/>
        <v>----</v>
      </c>
    </row>
    <row r="16" spans="1:10">
      <c r="A16" s="102"/>
      <c r="B16" s="103"/>
      <c r="C16" s="770"/>
      <c r="D16" s="729"/>
      <c r="E16" s="739"/>
      <c r="F16" s="771" t="str">
        <f t="shared" si="0"/>
        <v>----</v>
      </c>
      <c r="G16" s="739"/>
      <c r="H16" s="771" t="str">
        <f t="shared" si="1"/>
        <v>----</v>
      </c>
      <c r="I16" s="734"/>
      <c r="J16" s="772" t="str">
        <f t="shared" si="2"/>
        <v>----</v>
      </c>
    </row>
    <row r="17" spans="1:10">
      <c r="A17" s="102"/>
      <c r="B17" s="103"/>
      <c r="C17" s="770"/>
      <c r="D17" s="729"/>
      <c r="E17" s="739"/>
      <c r="F17" s="771" t="str">
        <f t="shared" si="0"/>
        <v>----</v>
      </c>
      <c r="G17" s="739"/>
      <c r="H17" s="771" t="str">
        <f t="shared" si="1"/>
        <v>----</v>
      </c>
      <c r="I17" s="734"/>
      <c r="J17" s="772" t="str">
        <f t="shared" si="2"/>
        <v>----</v>
      </c>
    </row>
    <row r="18" spans="1:10">
      <c r="A18" s="102"/>
      <c r="B18" s="103"/>
      <c r="C18" s="770"/>
      <c r="D18" s="729"/>
      <c r="E18" s="739"/>
      <c r="F18" s="771" t="str">
        <f t="shared" si="0"/>
        <v>----</v>
      </c>
      <c r="G18" s="739"/>
      <c r="H18" s="771" t="str">
        <f t="shared" si="1"/>
        <v>----</v>
      </c>
      <c r="I18" s="734"/>
      <c r="J18" s="772" t="str">
        <f t="shared" si="2"/>
        <v>----</v>
      </c>
    </row>
    <row r="19" spans="1:10">
      <c r="A19" s="102"/>
      <c r="B19" s="103"/>
      <c r="C19" s="770"/>
      <c r="D19" s="729"/>
      <c r="E19" s="739"/>
      <c r="F19" s="771" t="str">
        <f t="shared" si="0"/>
        <v>----</v>
      </c>
      <c r="G19" s="739"/>
      <c r="H19" s="771" t="str">
        <f t="shared" si="1"/>
        <v>----</v>
      </c>
      <c r="I19" s="734"/>
      <c r="J19" s="772" t="str">
        <f t="shared" si="2"/>
        <v>----</v>
      </c>
    </row>
    <row r="20" spans="1:10">
      <c r="A20" s="102"/>
      <c r="B20" s="103"/>
      <c r="C20" s="770"/>
      <c r="D20" s="729"/>
      <c r="E20" s="739"/>
      <c r="F20" s="771" t="str">
        <f t="shared" si="0"/>
        <v>----</v>
      </c>
      <c r="G20" s="739"/>
      <c r="H20" s="771" t="str">
        <f t="shared" si="1"/>
        <v>----</v>
      </c>
      <c r="I20" s="734"/>
      <c r="J20" s="772" t="str">
        <f t="shared" si="2"/>
        <v>----</v>
      </c>
    </row>
    <row r="21" spans="1:10">
      <c r="A21" s="102"/>
      <c r="B21" s="103"/>
      <c r="C21" s="770"/>
      <c r="D21" s="729"/>
      <c r="E21" s="739"/>
      <c r="F21" s="771" t="str">
        <f t="shared" si="0"/>
        <v>----</v>
      </c>
      <c r="G21" s="739"/>
      <c r="H21" s="771" t="str">
        <f t="shared" si="1"/>
        <v>----</v>
      </c>
      <c r="I21" s="734"/>
      <c r="J21" s="772" t="str">
        <f t="shared" si="2"/>
        <v>----</v>
      </c>
    </row>
    <row r="22" spans="1:10">
      <c r="A22" s="102"/>
      <c r="B22" s="103"/>
      <c r="C22" s="770"/>
      <c r="D22" s="729"/>
      <c r="E22" s="739"/>
      <c r="F22" s="771" t="str">
        <f t="shared" si="0"/>
        <v>----</v>
      </c>
      <c r="G22" s="739"/>
      <c r="H22" s="771" t="str">
        <f t="shared" si="1"/>
        <v>----</v>
      </c>
      <c r="I22" s="734"/>
      <c r="J22" s="772" t="str">
        <f t="shared" si="2"/>
        <v>----</v>
      </c>
    </row>
    <row r="23" spans="1:10">
      <c r="A23" s="116"/>
      <c r="B23" s="117"/>
      <c r="C23" s="773"/>
      <c r="D23" s="789"/>
      <c r="E23" s="740"/>
      <c r="F23" s="774" t="str">
        <f t="shared" si="0"/>
        <v>----</v>
      </c>
      <c r="G23" s="740"/>
      <c r="H23" s="774" t="str">
        <f t="shared" si="1"/>
        <v>----</v>
      </c>
      <c r="I23" s="735"/>
      <c r="J23" s="775" t="str">
        <f t="shared" si="2"/>
        <v>----</v>
      </c>
    </row>
    <row r="24" spans="1:10" ht="15.75" thickBot="1">
      <c r="A24" s="74"/>
      <c r="B24" s="75"/>
      <c r="C24" s="783"/>
      <c r="D24" s="790"/>
      <c r="E24" s="796"/>
      <c r="F24" s="801" t="str">
        <f t="shared" si="0"/>
        <v>----</v>
      </c>
      <c r="G24" s="796"/>
      <c r="H24" s="801" t="str">
        <f t="shared" si="1"/>
        <v>----</v>
      </c>
      <c r="I24" s="793"/>
      <c r="J24" s="802" t="str">
        <f t="shared" si="2"/>
        <v>----</v>
      </c>
    </row>
    <row r="25" spans="1:10" ht="15.75" thickBot="1">
      <c r="A25" s="27"/>
      <c r="B25" s="27"/>
      <c r="C25" s="28"/>
      <c r="D25" s="28"/>
      <c r="E25" s="439"/>
      <c r="F25" s="441">
        <f>SUM(F4:F24)</f>
        <v>29133.629999999946</v>
      </c>
      <c r="G25" s="439"/>
      <c r="H25" s="441">
        <f>SUM(H4:H24)</f>
        <v>0</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10001-0EE2-4967-8AD6-277AC24CD5FA}">
  <dimension ref="A1:L24"/>
  <sheetViews>
    <sheetView workbookViewId="0">
      <selection activeCell="L15" sqref="L15"/>
    </sheetView>
  </sheetViews>
  <sheetFormatPr defaultRowHeight="15"/>
  <cols>
    <col min="2" max="2" width="21.28515625" bestFit="1" customWidth="1"/>
    <col min="3" max="3" width="12" bestFit="1" customWidth="1"/>
    <col min="4" max="4" width="11.42578125" customWidth="1"/>
    <col min="5" max="5" width="9.140625" style="432"/>
    <col min="6" max="6" width="12.28515625" style="432" customWidth="1"/>
    <col min="7" max="7" width="10.7109375" style="432" bestFit="1" customWidth="1"/>
    <col min="8" max="8" width="12.28515625" style="432" customWidth="1"/>
    <col min="9" max="9" width="10.7109375" bestFit="1" customWidth="1"/>
    <col min="10" max="10" width="12.28515625" customWidth="1"/>
    <col min="12" max="12" width="11.140625" bestFit="1" customWidth="1"/>
  </cols>
  <sheetData>
    <row r="1" spans="1:12" ht="15.75" thickBot="1">
      <c r="A1" s="952" t="s">
        <v>157</v>
      </c>
      <c r="B1" s="953"/>
      <c r="C1" s="953"/>
      <c r="D1" s="953"/>
      <c r="E1" s="953"/>
      <c r="F1" s="953"/>
      <c r="G1" s="953"/>
      <c r="H1" s="953"/>
      <c r="I1" s="953"/>
      <c r="J1" s="954"/>
    </row>
    <row r="2" spans="1:12" s="432" customFormat="1">
      <c r="A2" s="959" t="s">
        <v>110</v>
      </c>
      <c r="B2" s="961" t="s">
        <v>111</v>
      </c>
      <c r="C2" s="961" t="s">
        <v>112</v>
      </c>
      <c r="D2" s="973" t="s">
        <v>120</v>
      </c>
      <c r="E2" s="957" t="s">
        <v>701</v>
      </c>
      <c r="F2" s="958"/>
      <c r="G2" s="957" t="s">
        <v>702</v>
      </c>
      <c r="H2" s="958"/>
      <c r="I2" s="932" t="s">
        <v>796</v>
      </c>
      <c r="J2" s="933"/>
    </row>
    <row r="3" spans="1:12" ht="57.75" thickBot="1">
      <c r="A3" s="960"/>
      <c r="B3" s="962"/>
      <c r="C3" s="962"/>
      <c r="D3" s="974"/>
      <c r="E3" s="460" t="s">
        <v>121</v>
      </c>
      <c r="F3" s="468" t="s">
        <v>113</v>
      </c>
      <c r="G3" s="460" t="s">
        <v>121</v>
      </c>
      <c r="H3" s="468" t="s">
        <v>113</v>
      </c>
      <c r="I3" s="478" t="s">
        <v>121</v>
      </c>
      <c r="J3" s="25" t="s">
        <v>113</v>
      </c>
    </row>
    <row r="4" spans="1:12">
      <c r="A4" s="70">
        <v>43816</v>
      </c>
      <c r="B4" s="71" t="s">
        <v>164</v>
      </c>
      <c r="C4" s="781">
        <v>669021.30000000005</v>
      </c>
      <c r="D4" s="787">
        <f>C4</f>
        <v>669021.30000000005</v>
      </c>
      <c r="E4" s="794"/>
      <c r="F4" s="803" t="str">
        <f t="shared" ref="F4:F23" si="0">IF(ISBLANK(E4),"----",E4-D4)</f>
        <v>----</v>
      </c>
      <c r="G4" s="794">
        <v>671095.9</v>
      </c>
      <c r="H4" s="803">
        <f t="shared" ref="H4:H23" si="1">IF(OR(G4="Complete",ISBLANK(G4)),"----",G4-$D4)</f>
        <v>2074.5999999999767</v>
      </c>
      <c r="I4" s="791" t="s">
        <v>703</v>
      </c>
      <c r="J4" s="804" t="str">
        <f t="shared" ref="J4:J23" si="2">IF(OR(I4="Complete",ISBLANK(I4)),"----",I4-$D4)</f>
        <v>----</v>
      </c>
    </row>
    <row r="5" spans="1:12">
      <c r="A5" s="88">
        <v>44089</v>
      </c>
      <c r="B5" s="101" t="s">
        <v>307</v>
      </c>
      <c r="C5" s="784">
        <v>240766.5</v>
      </c>
      <c r="D5" s="788">
        <f>C5</f>
        <v>240766.5</v>
      </c>
      <c r="E5" s="795"/>
      <c r="F5" s="807" t="str">
        <f t="shared" si="0"/>
        <v>----</v>
      </c>
      <c r="G5" s="795">
        <v>245490.68</v>
      </c>
      <c r="H5" s="807">
        <f t="shared" si="1"/>
        <v>4724.179999999993</v>
      </c>
      <c r="I5" s="792" t="s">
        <v>703</v>
      </c>
      <c r="J5" s="808" t="str">
        <f t="shared" si="2"/>
        <v>----</v>
      </c>
    </row>
    <row r="6" spans="1:12">
      <c r="A6" s="102">
        <v>44124</v>
      </c>
      <c r="B6" s="103" t="s">
        <v>320</v>
      </c>
      <c r="C6" s="770">
        <v>1082462.76</v>
      </c>
      <c r="D6" s="729">
        <v>590882.76</v>
      </c>
      <c r="E6" s="739"/>
      <c r="F6" s="807" t="str">
        <f t="shared" si="0"/>
        <v>----</v>
      </c>
      <c r="G6" s="739">
        <v>559595.43000000005</v>
      </c>
      <c r="H6" s="807">
        <f t="shared" si="1"/>
        <v>-31287.329999999958</v>
      </c>
      <c r="I6" s="792" t="s">
        <v>703</v>
      </c>
      <c r="J6" s="808" t="str">
        <f t="shared" si="2"/>
        <v>----</v>
      </c>
      <c r="K6" t="s">
        <v>422</v>
      </c>
      <c r="L6" s="719">
        <v>491580</v>
      </c>
    </row>
    <row r="7" spans="1:12">
      <c r="A7" s="102">
        <v>44915</v>
      </c>
      <c r="B7" s="103" t="s">
        <v>617</v>
      </c>
      <c r="C7" s="770">
        <v>586832.5</v>
      </c>
      <c r="D7" s="729">
        <f>C7</f>
        <v>586832.5</v>
      </c>
      <c r="E7" s="739"/>
      <c r="F7" s="807" t="str">
        <f t="shared" si="0"/>
        <v>----</v>
      </c>
      <c r="G7" s="739"/>
      <c r="H7" s="807" t="str">
        <f t="shared" si="1"/>
        <v>----</v>
      </c>
      <c r="I7" s="734"/>
      <c r="J7" s="808" t="str">
        <f t="shared" si="2"/>
        <v>----</v>
      </c>
    </row>
    <row r="8" spans="1:12">
      <c r="A8" s="224">
        <v>45308</v>
      </c>
      <c r="B8" s="225" t="s">
        <v>721</v>
      </c>
      <c r="C8" s="861"/>
      <c r="D8" s="862"/>
      <c r="E8" s="863"/>
      <c r="F8" s="864" t="str">
        <f t="shared" si="0"/>
        <v>----</v>
      </c>
      <c r="G8" s="863"/>
      <c r="H8" s="864" t="str">
        <f t="shared" si="1"/>
        <v>----</v>
      </c>
      <c r="I8" s="865"/>
      <c r="J8" s="866" t="str">
        <f t="shared" si="2"/>
        <v>----</v>
      </c>
      <c r="K8" t="s">
        <v>723</v>
      </c>
    </row>
    <row r="9" spans="1:12">
      <c r="A9" s="102">
        <v>45952</v>
      </c>
      <c r="B9" s="103" t="s">
        <v>910</v>
      </c>
      <c r="C9" s="770">
        <v>808273.4</v>
      </c>
      <c r="D9" s="729">
        <f>C9</f>
        <v>808273.4</v>
      </c>
      <c r="E9" s="739"/>
      <c r="F9" s="807" t="str">
        <f t="shared" si="0"/>
        <v>----</v>
      </c>
      <c r="G9" s="739"/>
      <c r="H9" s="807" t="str">
        <f t="shared" si="1"/>
        <v>----</v>
      </c>
      <c r="I9" s="734"/>
      <c r="J9" s="808" t="str">
        <f t="shared" si="2"/>
        <v>----</v>
      </c>
    </row>
    <row r="10" spans="1:12">
      <c r="A10" s="102"/>
      <c r="B10" s="103"/>
      <c r="C10" s="770"/>
      <c r="D10" s="729"/>
      <c r="E10" s="739"/>
      <c r="F10" s="807" t="str">
        <f t="shared" si="0"/>
        <v>----</v>
      </c>
      <c r="G10" s="739"/>
      <c r="H10" s="807" t="str">
        <f t="shared" si="1"/>
        <v>----</v>
      </c>
      <c r="I10" s="734"/>
      <c r="J10" s="808" t="str">
        <f t="shared" si="2"/>
        <v>----</v>
      </c>
    </row>
    <row r="11" spans="1:12">
      <c r="A11" s="102"/>
      <c r="B11" s="103"/>
      <c r="C11" s="770"/>
      <c r="D11" s="729"/>
      <c r="E11" s="739"/>
      <c r="F11" s="807" t="str">
        <f t="shared" si="0"/>
        <v>----</v>
      </c>
      <c r="G11" s="739"/>
      <c r="H11" s="807" t="str">
        <f t="shared" si="1"/>
        <v>----</v>
      </c>
      <c r="I11" s="734"/>
      <c r="J11" s="808" t="str">
        <f t="shared" si="2"/>
        <v>----</v>
      </c>
    </row>
    <row r="12" spans="1:12">
      <c r="A12" s="102"/>
      <c r="B12" s="103"/>
      <c r="C12" s="770"/>
      <c r="D12" s="729"/>
      <c r="E12" s="739"/>
      <c r="F12" s="807" t="str">
        <f t="shared" si="0"/>
        <v>----</v>
      </c>
      <c r="G12" s="739"/>
      <c r="H12" s="807" t="str">
        <f t="shared" si="1"/>
        <v>----</v>
      </c>
      <c r="I12" s="734"/>
      <c r="J12" s="808" t="str">
        <f t="shared" si="2"/>
        <v>----</v>
      </c>
    </row>
    <row r="13" spans="1:12">
      <c r="A13" s="102"/>
      <c r="B13" s="103"/>
      <c r="C13" s="770"/>
      <c r="D13" s="729"/>
      <c r="E13" s="739"/>
      <c r="F13" s="807" t="str">
        <f t="shared" si="0"/>
        <v>----</v>
      </c>
      <c r="G13" s="739"/>
      <c r="H13" s="807" t="str">
        <f t="shared" si="1"/>
        <v>----</v>
      </c>
      <c r="I13" s="734"/>
      <c r="J13" s="808" t="str">
        <f t="shared" si="2"/>
        <v>----</v>
      </c>
    </row>
    <row r="14" spans="1:12">
      <c r="A14" s="102"/>
      <c r="B14" s="103"/>
      <c r="C14" s="770"/>
      <c r="D14" s="729"/>
      <c r="E14" s="739"/>
      <c r="F14" s="807" t="str">
        <f t="shared" si="0"/>
        <v>----</v>
      </c>
      <c r="G14" s="739"/>
      <c r="H14" s="807" t="str">
        <f t="shared" si="1"/>
        <v>----</v>
      </c>
      <c r="I14" s="734"/>
      <c r="J14" s="808" t="str">
        <f t="shared" si="2"/>
        <v>----</v>
      </c>
    </row>
    <row r="15" spans="1:12">
      <c r="A15" s="102"/>
      <c r="B15" s="103"/>
      <c r="C15" s="770"/>
      <c r="D15" s="729"/>
      <c r="E15" s="739"/>
      <c r="F15" s="807" t="str">
        <f t="shared" si="0"/>
        <v>----</v>
      </c>
      <c r="G15" s="739"/>
      <c r="H15" s="807" t="str">
        <f t="shared" si="1"/>
        <v>----</v>
      </c>
      <c r="I15" s="734"/>
      <c r="J15" s="808" t="str">
        <f t="shared" si="2"/>
        <v>----</v>
      </c>
    </row>
    <row r="16" spans="1:12">
      <c r="A16" s="102"/>
      <c r="B16" s="103"/>
      <c r="C16" s="770"/>
      <c r="D16" s="729"/>
      <c r="E16" s="739"/>
      <c r="F16" s="807" t="str">
        <f t="shared" si="0"/>
        <v>----</v>
      </c>
      <c r="G16" s="739"/>
      <c r="H16" s="807" t="str">
        <f t="shared" si="1"/>
        <v>----</v>
      </c>
      <c r="I16" s="734"/>
      <c r="J16" s="808" t="str">
        <f t="shared" si="2"/>
        <v>----</v>
      </c>
    </row>
    <row r="17" spans="1:10">
      <c r="A17" s="102"/>
      <c r="B17" s="103"/>
      <c r="C17" s="770"/>
      <c r="D17" s="729"/>
      <c r="E17" s="739"/>
      <c r="F17" s="807" t="str">
        <f t="shared" si="0"/>
        <v>----</v>
      </c>
      <c r="G17" s="739"/>
      <c r="H17" s="807" t="str">
        <f t="shared" si="1"/>
        <v>----</v>
      </c>
      <c r="I17" s="734"/>
      <c r="J17" s="808" t="str">
        <f t="shared" si="2"/>
        <v>----</v>
      </c>
    </row>
    <row r="18" spans="1:10">
      <c r="A18" s="102"/>
      <c r="B18" s="103"/>
      <c r="C18" s="770"/>
      <c r="D18" s="729"/>
      <c r="E18" s="739"/>
      <c r="F18" s="807" t="str">
        <f t="shared" si="0"/>
        <v>----</v>
      </c>
      <c r="G18" s="739"/>
      <c r="H18" s="807" t="str">
        <f t="shared" si="1"/>
        <v>----</v>
      </c>
      <c r="I18" s="734"/>
      <c r="J18" s="808" t="str">
        <f t="shared" si="2"/>
        <v>----</v>
      </c>
    </row>
    <row r="19" spans="1:10">
      <c r="A19" s="102"/>
      <c r="B19" s="103"/>
      <c r="C19" s="770"/>
      <c r="D19" s="729"/>
      <c r="E19" s="739"/>
      <c r="F19" s="807" t="str">
        <f t="shared" si="0"/>
        <v>----</v>
      </c>
      <c r="G19" s="739"/>
      <c r="H19" s="807" t="str">
        <f t="shared" si="1"/>
        <v>----</v>
      </c>
      <c r="I19" s="734"/>
      <c r="J19" s="808" t="str">
        <f t="shared" si="2"/>
        <v>----</v>
      </c>
    </row>
    <row r="20" spans="1:10">
      <c r="A20" s="102"/>
      <c r="B20" s="103"/>
      <c r="C20" s="770"/>
      <c r="D20" s="729"/>
      <c r="E20" s="739"/>
      <c r="F20" s="807" t="str">
        <f t="shared" si="0"/>
        <v>----</v>
      </c>
      <c r="G20" s="739"/>
      <c r="H20" s="807" t="str">
        <f t="shared" si="1"/>
        <v>----</v>
      </c>
      <c r="I20" s="734"/>
      <c r="J20" s="808" t="str">
        <f t="shared" si="2"/>
        <v>----</v>
      </c>
    </row>
    <row r="21" spans="1:10">
      <c r="A21" s="102"/>
      <c r="B21" s="103"/>
      <c r="C21" s="770"/>
      <c r="D21" s="729"/>
      <c r="E21" s="739"/>
      <c r="F21" s="807" t="str">
        <f t="shared" si="0"/>
        <v>----</v>
      </c>
      <c r="G21" s="739"/>
      <c r="H21" s="807" t="str">
        <f t="shared" si="1"/>
        <v>----</v>
      </c>
      <c r="I21" s="734"/>
      <c r="J21" s="808" t="str">
        <f t="shared" si="2"/>
        <v>----</v>
      </c>
    </row>
    <row r="22" spans="1:10">
      <c r="A22" s="116"/>
      <c r="B22" s="117"/>
      <c r="C22" s="773"/>
      <c r="D22" s="789"/>
      <c r="E22" s="740"/>
      <c r="F22" s="807" t="str">
        <f t="shared" si="0"/>
        <v>----</v>
      </c>
      <c r="G22" s="740"/>
      <c r="H22" s="807" t="str">
        <f t="shared" si="1"/>
        <v>----</v>
      </c>
      <c r="I22" s="735"/>
      <c r="J22" s="808" t="str">
        <f t="shared" si="2"/>
        <v>----</v>
      </c>
    </row>
    <row r="23" spans="1:10" ht="15.75" thickBot="1">
      <c r="A23" s="74"/>
      <c r="B23" s="75"/>
      <c r="C23" s="783"/>
      <c r="D23" s="790"/>
      <c r="E23" s="796"/>
      <c r="F23" s="801" t="str">
        <f t="shared" si="0"/>
        <v>----</v>
      </c>
      <c r="G23" s="796"/>
      <c r="H23" s="801" t="str">
        <f t="shared" si="1"/>
        <v>----</v>
      </c>
      <c r="I23" s="793"/>
      <c r="J23" s="802" t="str">
        <f t="shared" si="2"/>
        <v>----</v>
      </c>
    </row>
    <row r="24" spans="1:10" ht="15.75" thickBot="1">
      <c r="A24" s="27"/>
      <c r="B24" s="27"/>
      <c r="C24" s="28"/>
      <c r="D24" s="28"/>
      <c r="E24" s="439"/>
      <c r="F24" s="441">
        <f>SUM(F4:F23)</f>
        <v>0</v>
      </c>
      <c r="G24" s="439"/>
      <c r="H24" s="441">
        <f>SUM(H4:H23)</f>
        <v>-24488.549999999988</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F577C-CDE7-4620-91DE-C6DB70F79E6D}">
  <dimension ref="A1:K19"/>
  <sheetViews>
    <sheetView workbookViewId="0">
      <selection activeCell="E20" sqref="E20"/>
    </sheetView>
  </sheetViews>
  <sheetFormatPr defaultRowHeight="15"/>
  <cols>
    <col min="2" max="2" width="22.5703125" bestFit="1" customWidth="1"/>
    <col min="3" max="4" width="10.7109375" bestFit="1" customWidth="1"/>
    <col min="5" max="5" width="10.7109375" style="432" bestFit="1" customWidth="1"/>
    <col min="6" max="6" width="10.42578125" style="432" bestFit="1" customWidth="1"/>
    <col min="7" max="7" width="10.7109375" style="432" bestFit="1" customWidth="1"/>
    <col min="8" max="8" width="10.42578125" style="432" bestFit="1" customWidth="1"/>
    <col min="9" max="9" width="10.7109375" bestFit="1" customWidth="1"/>
    <col min="10" max="10" width="10.42578125" bestFit="1" customWidth="1"/>
    <col min="11" max="11" width="9.5703125" bestFit="1" customWidth="1"/>
  </cols>
  <sheetData>
    <row r="1" spans="1:11" ht="15.75" thickBot="1">
      <c r="A1" s="952" t="s">
        <v>285</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57.75" thickBot="1">
      <c r="A3" s="960"/>
      <c r="B3" s="962"/>
      <c r="C3" s="962"/>
      <c r="D3" s="974"/>
      <c r="E3" s="460" t="s">
        <v>121</v>
      </c>
      <c r="F3" s="468" t="s">
        <v>113</v>
      </c>
      <c r="G3" s="460" t="s">
        <v>121</v>
      </c>
      <c r="H3" s="468" t="s">
        <v>113</v>
      </c>
      <c r="I3" s="478" t="s">
        <v>121</v>
      </c>
      <c r="J3" s="25" t="s">
        <v>113</v>
      </c>
    </row>
    <row r="4" spans="1:11">
      <c r="A4" s="988">
        <v>44153</v>
      </c>
      <c r="B4" s="71" t="s">
        <v>340</v>
      </c>
      <c r="C4" s="781">
        <v>440518.26</v>
      </c>
      <c r="D4" s="787">
        <v>235693.26</v>
      </c>
      <c r="E4" s="794">
        <v>238153.92</v>
      </c>
      <c r="F4" s="803">
        <f t="shared" ref="F4:F18" si="0">IF(ISBLANK(E4),"----",E4-D4)</f>
        <v>2460.6600000000035</v>
      </c>
      <c r="G4" s="794" t="s">
        <v>703</v>
      </c>
      <c r="H4" s="803" t="str">
        <f t="shared" ref="H4:H18" si="1">IF(OR(G4="Complete",ISBLANK(G4)),"----",G4-$D4)</f>
        <v>----</v>
      </c>
      <c r="I4" s="791" t="s">
        <v>703</v>
      </c>
      <c r="J4" s="804" t="str">
        <f t="shared" ref="J4:J18" si="2">IF(OR(I4="Complete",ISBLANK(I4)),"----",I4-$D4)</f>
        <v>----</v>
      </c>
    </row>
    <row r="5" spans="1:11">
      <c r="A5" s="983"/>
      <c r="B5" s="101" t="s">
        <v>341</v>
      </c>
      <c r="C5" s="784">
        <v>433735.25</v>
      </c>
      <c r="D5" s="788">
        <v>338150.25</v>
      </c>
      <c r="E5" s="795">
        <f>403676.37-95585</f>
        <v>308091.37</v>
      </c>
      <c r="F5" s="807">
        <f t="shared" si="0"/>
        <v>-30058.880000000005</v>
      </c>
      <c r="G5" s="795" t="s">
        <v>703</v>
      </c>
      <c r="H5" s="807" t="str">
        <f t="shared" si="1"/>
        <v>----</v>
      </c>
      <c r="I5" s="792" t="s">
        <v>703</v>
      </c>
      <c r="J5" s="808" t="str">
        <f t="shared" si="2"/>
        <v>----</v>
      </c>
      <c r="K5" s="800"/>
    </row>
    <row r="6" spans="1:11">
      <c r="A6" s="88">
        <v>44216</v>
      </c>
      <c r="B6" s="101" t="s">
        <v>382</v>
      </c>
      <c r="C6" s="784">
        <v>538624.5</v>
      </c>
      <c r="D6" s="788">
        <f t="shared" ref="D6:D11" si="3">C6</f>
        <v>538624.5</v>
      </c>
      <c r="E6" s="795">
        <v>519115.73</v>
      </c>
      <c r="F6" s="807">
        <f t="shared" si="0"/>
        <v>-19508.770000000019</v>
      </c>
      <c r="G6" s="795" t="s">
        <v>703</v>
      </c>
      <c r="H6" s="807" t="str">
        <f t="shared" si="1"/>
        <v>----</v>
      </c>
      <c r="I6" s="792" t="s">
        <v>703</v>
      </c>
      <c r="J6" s="808" t="str">
        <f t="shared" si="2"/>
        <v>----</v>
      </c>
    </row>
    <row r="7" spans="1:11">
      <c r="A7" s="88">
        <v>44607</v>
      </c>
      <c r="B7" s="101" t="s">
        <v>508</v>
      </c>
      <c r="C7" s="784">
        <v>594810.69999999995</v>
      </c>
      <c r="D7" s="788">
        <f t="shared" si="3"/>
        <v>594810.69999999995</v>
      </c>
      <c r="E7" s="795">
        <v>584050.91</v>
      </c>
      <c r="F7" s="807">
        <f t="shared" si="0"/>
        <v>-10759.789999999921</v>
      </c>
      <c r="G7" s="795" t="s">
        <v>703</v>
      </c>
      <c r="H7" s="807" t="str">
        <f t="shared" si="1"/>
        <v>----</v>
      </c>
      <c r="I7" s="792" t="s">
        <v>703</v>
      </c>
      <c r="J7" s="808" t="str">
        <f t="shared" si="2"/>
        <v>----</v>
      </c>
    </row>
    <row r="8" spans="1:11">
      <c r="A8" s="88">
        <v>44824</v>
      </c>
      <c r="B8" s="101" t="s">
        <v>569</v>
      </c>
      <c r="C8" s="784">
        <v>441309.25</v>
      </c>
      <c r="D8" s="788">
        <f t="shared" si="3"/>
        <v>441309.25</v>
      </c>
      <c r="E8" s="795">
        <v>447088.78</v>
      </c>
      <c r="F8" s="807">
        <f t="shared" si="0"/>
        <v>5779.5300000000279</v>
      </c>
      <c r="G8" s="795" t="s">
        <v>703</v>
      </c>
      <c r="H8" s="807" t="str">
        <f t="shared" si="1"/>
        <v>----</v>
      </c>
      <c r="I8" s="792" t="s">
        <v>703</v>
      </c>
      <c r="J8" s="808" t="str">
        <f t="shared" si="2"/>
        <v>----</v>
      </c>
    </row>
    <row r="9" spans="1:11">
      <c r="A9" s="88">
        <v>44915</v>
      </c>
      <c r="B9" s="101" t="s">
        <v>618</v>
      </c>
      <c r="C9" s="784">
        <v>890768.8</v>
      </c>
      <c r="D9" s="788">
        <f t="shared" si="3"/>
        <v>890768.8</v>
      </c>
      <c r="E9" s="795"/>
      <c r="F9" s="807" t="str">
        <f t="shared" si="0"/>
        <v>----</v>
      </c>
      <c r="G9" s="795"/>
      <c r="H9" s="807" t="str">
        <f t="shared" si="1"/>
        <v>----</v>
      </c>
      <c r="I9" s="792">
        <v>884506.15</v>
      </c>
      <c r="J9" s="808">
        <f t="shared" si="2"/>
        <v>-6262.6500000000233</v>
      </c>
    </row>
    <row r="10" spans="1:11">
      <c r="A10" s="408">
        <v>45251</v>
      </c>
      <c r="B10" s="409" t="s">
        <v>682</v>
      </c>
      <c r="C10" s="784">
        <v>594539.19999999995</v>
      </c>
      <c r="D10" s="788">
        <f t="shared" si="3"/>
        <v>594539.19999999995</v>
      </c>
      <c r="E10" s="795"/>
      <c r="F10" s="807" t="str">
        <f t="shared" si="0"/>
        <v>----</v>
      </c>
      <c r="G10" s="795"/>
      <c r="H10" s="807" t="str">
        <f t="shared" si="1"/>
        <v>----</v>
      </c>
      <c r="I10" s="792"/>
      <c r="J10" s="808" t="str">
        <f t="shared" si="2"/>
        <v>----</v>
      </c>
    </row>
    <row r="11" spans="1:11">
      <c r="A11" s="88">
        <v>45398</v>
      </c>
      <c r="B11" s="448" t="s">
        <v>742</v>
      </c>
      <c r="C11" s="784">
        <v>887120.75</v>
      </c>
      <c r="D11" s="788">
        <f t="shared" si="3"/>
        <v>887120.75</v>
      </c>
      <c r="E11" s="795"/>
      <c r="F11" s="807" t="str">
        <f t="shared" si="0"/>
        <v>----</v>
      </c>
      <c r="G11" s="795"/>
      <c r="H11" s="807" t="str">
        <f t="shared" si="1"/>
        <v>----</v>
      </c>
      <c r="I11" s="792"/>
      <c r="J11" s="808" t="str">
        <f t="shared" si="2"/>
        <v>----</v>
      </c>
    </row>
    <row r="12" spans="1:11">
      <c r="A12" s="88">
        <v>45888</v>
      </c>
      <c r="B12" s="697" t="s">
        <v>897</v>
      </c>
      <c r="C12" s="784">
        <v>637326.65</v>
      </c>
      <c r="D12" s="788">
        <f>C12</f>
        <v>637326.65</v>
      </c>
      <c r="E12" s="795"/>
      <c r="F12" s="807" t="str">
        <f t="shared" si="0"/>
        <v>----</v>
      </c>
      <c r="G12" s="795"/>
      <c r="H12" s="807" t="str">
        <f t="shared" si="1"/>
        <v>----</v>
      </c>
      <c r="I12" s="792"/>
      <c r="J12" s="808" t="str">
        <f t="shared" si="2"/>
        <v>----</v>
      </c>
    </row>
    <row r="13" spans="1:11">
      <c r="A13" s="88"/>
      <c r="B13" s="101"/>
      <c r="C13" s="784"/>
      <c r="D13" s="788"/>
      <c r="E13" s="795"/>
      <c r="F13" s="807" t="str">
        <f t="shared" si="0"/>
        <v>----</v>
      </c>
      <c r="G13" s="795"/>
      <c r="H13" s="807" t="str">
        <f t="shared" si="1"/>
        <v>----</v>
      </c>
      <c r="I13" s="792"/>
      <c r="J13" s="808" t="str">
        <f t="shared" si="2"/>
        <v>----</v>
      </c>
    </row>
    <row r="14" spans="1:11">
      <c r="A14" s="88"/>
      <c r="B14" s="101"/>
      <c r="C14" s="784"/>
      <c r="D14" s="788"/>
      <c r="E14" s="795"/>
      <c r="F14" s="807" t="str">
        <f t="shared" si="0"/>
        <v>----</v>
      </c>
      <c r="G14" s="795"/>
      <c r="H14" s="807" t="str">
        <f t="shared" si="1"/>
        <v>----</v>
      </c>
      <c r="I14" s="792"/>
      <c r="J14" s="808" t="str">
        <f t="shared" si="2"/>
        <v>----</v>
      </c>
    </row>
    <row r="15" spans="1:11">
      <c r="A15" s="88"/>
      <c r="B15" s="101"/>
      <c r="C15" s="784"/>
      <c r="D15" s="788"/>
      <c r="E15" s="795"/>
      <c r="F15" s="807" t="str">
        <f t="shared" si="0"/>
        <v>----</v>
      </c>
      <c r="G15" s="795"/>
      <c r="H15" s="807" t="str">
        <f t="shared" si="1"/>
        <v>----</v>
      </c>
      <c r="I15" s="792"/>
      <c r="J15" s="808" t="str">
        <f t="shared" si="2"/>
        <v>----</v>
      </c>
    </row>
    <row r="16" spans="1:11">
      <c r="A16" s="88"/>
      <c r="B16" s="101"/>
      <c r="C16" s="784"/>
      <c r="D16" s="788"/>
      <c r="E16" s="795"/>
      <c r="F16" s="807" t="str">
        <f t="shared" si="0"/>
        <v>----</v>
      </c>
      <c r="G16" s="795"/>
      <c r="H16" s="807" t="str">
        <f t="shared" si="1"/>
        <v>----</v>
      </c>
      <c r="I16" s="792"/>
      <c r="J16" s="808" t="str">
        <f t="shared" si="2"/>
        <v>----</v>
      </c>
    </row>
    <row r="17" spans="1:10">
      <c r="A17" s="88"/>
      <c r="B17" s="101"/>
      <c r="C17" s="784"/>
      <c r="D17" s="788"/>
      <c r="E17" s="795"/>
      <c r="F17" s="807" t="str">
        <f t="shared" si="0"/>
        <v>----</v>
      </c>
      <c r="G17" s="795"/>
      <c r="H17" s="807" t="str">
        <f t="shared" si="1"/>
        <v>----</v>
      </c>
      <c r="I17" s="792"/>
      <c r="J17" s="808" t="str">
        <f t="shared" si="2"/>
        <v>----</v>
      </c>
    </row>
    <row r="18" spans="1:10" ht="15.75" thickBot="1">
      <c r="A18" s="74"/>
      <c r="B18" s="75"/>
      <c r="C18" s="783"/>
      <c r="D18" s="790"/>
      <c r="E18" s="796"/>
      <c r="F18" s="801" t="str">
        <f t="shared" si="0"/>
        <v>----</v>
      </c>
      <c r="G18" s="796"/>
      <c r="H18" s="801" t="str">
        <f t="shared" si="1"/>
        <v>----</v>
      </c>
      <c r="I18" s="793"/>
      <c r="J18" s="802" t="str">
        <f t="shared" si="2"/>
        <v>----</v>
      </c>
    </row>
    <row r="19" spans="1:10" ht="15.75" thickBot="1">
      <c r="A19" s="27"/>
      <c r="B19" s="27"/>
      <c r="C19" s="28"/>
      <c r="D19" s="28"/>
      <c r="E19" s="439"/>
      <c r="F19" s="441">
        <f>SUM(F4:F18)</f>
        <v>-52087.249999999913</v>
      </c>
      <c r="G19" s="439"/>
      <c r="H19" s="441">
        <f>SUM(H4:H18)</f>
        <v>0</v>
      </c>
      <c r="I19" s="28"/>
      <c r="J19" s="69">
        <f>SUM(J4:J18)</f>
        <v>-6262.6500000000233</v>
      </c>
    </row>
  </sheetData>
  <mergeCells count="9">
    <mergeCell ref="A1:J1"/>
    <mergeCell ref="A4:A5"/>
    <mergeCell ref="E2:F2"/>
    <mergeCell ref="I2:J2"/>
    <mergeCell ref="A2:A3"/>
    <mergeCell ref="B2:B3"/>
    <mergeCell ref="C2:C3"/>
    <mergeCell ref="D2:D3"/>
    <mergeCell ref="G2:H2"/>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6596A-DF3B-4555-9B9E-A1B45B970DC7}">
  <dimension ref="A1:K19"/>
  <sheetViews>
    <sheetView workbookViewId="0">
      <selection activeCell="D10" sqref="D10"/>
    </sheetView>
  </sheetViews>
  <sheetFormatPr defaultRowHeight="15"/>
  <cols>
    <col min="2" max="2" width="23" bestFit="1" customWidth="1"/>
    <col min="3" max="3" width="10.7109375" bestFit="1" customWidth="1"/>
    <col min="4" max="4" width="12" customWidth="1"/>
    <col min="5" max="5" width="10.7109375" style="432" bestFit="1" customWidth="1"/>
    <col min="6" max="6" width="12.42578125" style="432" customWidth="1"/>
    <col min="7" max="7" width="10.7109375" style="432" bestFit="1" customWidth="1"/>
    <col min="8" max="8" width="12.42578125" style="432" customWidth="1"/>
    <col min="9" max="9" width="10.7109375" bestFit="1" customWidth="1"/>
    <col min="10" max="10" width="12.42578125" customWidth="1"/>
  </cols>
  <sheetData>
    <row r="1" spans="1:11" ht="15.75" thickBot="1">
      <c r="A1" s="952" t="s">
        <v>141</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46.5" thickBot="1">
      <c r="A3" s="960"/>
      <c r="B3" s="962"/>
      <c r="C3" s="962"/>
      <c r="D3" s="974"/>
      <c r="E3" s="460" t="s">
        <v>121</v>
      </c>
      <c r="F3" s="468" t="s">
        <v>113</v>
      </c>
      <c r="G3" s="460" t="s">
        <v>121</v>
      </c>
      <c r="H3" s="468" t="s">
        <v>113</v>
      </c>
      <c r="I3" s="478" t="s">
        <v>121</v>
      </c>
      <c r="J3" s="25" t="s">
        <v>113</v>
      </c>
    </row>
    <row r="4" spans="1:11">
      <c r="A4" s="70">
        <v>43788</v>
      </c>
      <c r="B4" s="71" t="s">
        <v>343</v>
      </c>
      <c r="C4" s="722">
        <v>605531.69999999995</v>
      </c>
      <c r="D4" s="727">
        <f>C4</f>
        <v>605531.69999999995</v>
      </c>
      <c r="E4" s="737"/>
      <c r="F4" s="768" t="str">
        <f>IF(ISBLANK($I4),"----",$I4-$D4)</f>
        <v>----</v>
      </c>
      <c r="G4" s="737"/>
      <c r="H4" s="768" t="str">
        <f t="shared" ref="H4:H18" si="0">IF(OR(G4="Complete",ISBLANK(G4)),"----",G4-$D4)</f>
        <v>----</v>
      </c>
      <c r="I4" s="732"/>
      <c r="J4" s="769" t="str">
        <f t="shared" ref="J4:J18" si="1">IF(OR(I4="Complete",ISBLANK(I4)),"----",I4-$D4)</f>
        <v>----</v>
      </c>
    </row>
    <row r="5" spans="1:11">
      <c r="A5" s="127">
        <v>44153</v>
      </c>
      <c r="B5" s="128" t="s">
        <v>342</v>
      </c>
      <c r="C5" s="750">
        <v>713284.12</v>
      </c>
      <c r="D5" s="751">
        <v>221704.12</v>
      </c>
      <c r="E5" s="752">
        <v>208108.73</v>
      </c>
      <c r="F5" s="661">
        <f t="shared" ref="F5:F18" si="2">IF(ISBLANK(E5),"----",E5-D5)</f>
        <v>-13595.389999999985</v>
      </c>
      <c r="G5" s="752" t="s">
        <v>703</v>
      </c>
      <c r="H5" s="661" t="str">
        <f t="shared" si="0"/>
        <v>----</v>
      </c>
      <c r="I5" s="754" t="s">
        <v>703</v>
      </c>
      <c r="J5" s="660" t="str">
        <f t="shared" si="1"/>
        <v>----</v>
      </c>
    </row>
    <row r="6" spans="1:11">
      <c r="A6" s="120">
        <v>44397</v>
      </c>
      <c r="B6" s="121" t="s">
        <v>443</v>
      </c>
      <c r="C6" s="725">
        <v>289498.25</v>
      </c>
      <c r="D6" s="742">
        <v>71018.25</v>
      </c>
      <c r="E6" s="756"/>
      <c r="F6" s="661" t="str">
        <f t="shared" si="2"/>
        <v>----</v>
      </c>
      <c r="G6" s="756">
        <f>280423.17-218480</f>
        <v>61943.169999999984</v>
      </c>
      <c r="H6" s="661">
        <f t="shared" si="0"/>
        <v>-9075.0800000000163</v>
      </c>
      <c r="I6" s="757"/>
      <c r="J6" s="660" t="str">
        <f t="shared" si="1"/>
        <v>----</v>
      </c>
      <c r="K6" s="718" t="s">
        <v>803</v>
      </c>
    </row>
    <row r="7" spans="1:11">
      <c r="A7" s="120">
        <v>44397</v>
      </c>
      <c r="B7" s="121" t="s">
        <v>444</v>
      </c>
      <c r="C7" s="725">
        <v>874442.2</v>
      </c>
      <c r="D7" s="742">
        <v>492102.2</v>
      </c>
      <c r="E7" s="756"/>
      <c r="F7" s="661" t="str">
        <f t="shared" si="2"/>
        <v>----</v>
      </c>
      <c r="G7" s="756">
        <f>874457.62-382340</f>
        <v>492117.62</v>
      </c>
      <c r="H7" s="661">
        <f t="shared" si="0"/>
        <v>15.419999999983702</v>
      </c>
      <c r="I7" s="757"/>
      <c r="J7" s="660" t="str">
        <f t="shared" si="1"/>
        <v>----</v>
      </c>
      <c r="K7" t="s">
        <v>804</v>
      </c>
    </row>
    <row r="8" spans="1:11">
      <c r="A8" s="120">
        <v>45580</v>
      </c>
      <c r="B8" s="121" t="s">
        <v>777</v>
      </c>
      <c r="C8" s="725">
        <v>714396.59</v>
      </c>
      <c r="D8" s="742">
        <f>C8</f>
        <v>714396.59</v>
      </c>
      <c r="E8" s="756"/>
      <c r="F8" s="661" t="str">
        <f t="shared" si="2"/>
        <v>----</v>
      </c>
      <c r="G8" s="756"/>
      <c r="H8" s="661" t="str">
        <f t="shared" si="0"/>
        <v>----</v>
      </c>
      <c r="I8" s="757"/>
      <c r="J8" s="660" t="str">
        <f t="shared" si="1"/>
        <v>----</v>
      </c>
    </row>
    <row r="9" spans="1:11">
      <c r="A9" s="120">
        <v>45952</v>
      </c>
      <c r="B9" s="121" t="s">
        <v>911</v>
      </c>
      <c r="C9" s="725">
        <v>856773.7</v>
      </c>
      <c r="D9" s="742">
        <f>C9</f>
        <v>856773.7</v>
      </c>
      <c r="E9" s="756"/>
      <c r="F9" s="661" t="str">
        <f t="shared" si="2"/>
        <v>----</v>
      </c>
      <c r="G9" s="756"/>
      <c r="H9" s="661" t="str">
        <f t="shared" si="0"/>
        <v>----</v>
      </c>
      <c r="I9" s="757"/>
      <c r="J9" s="660" t="str">
        <f t="shared" si="1"/>
        <v>----</v>
      </c>
    </row>
    <row r="10" spans="1:11">
      <c r="A10" s="120"/>
      <c r="B10" s="121"/>
      <c r="C10" s="725"/>
      <c r="D10" s="742"/>
      <c r="E10" s="756"/>
      <c r="F10" s="661" t="str">
        <f t="shared" si="2"/>
        <v>----</v>
      </c>
      <c r="G10" s="756"/>
      <c r="H10" s="661" t="str">
        <f t="shared" si="0"/>
        <v>----</v>
      </c>
      <c r="I10" s="757"/>
      <c r="J10" s="660" t="str">
        <f t="shared" si="1"/>
        <v>----</v>
      </c>
    </row>
    <row r="11" spans="1:11">
      <c r="A11" s="120"/>
      <c r="B11" s="121"/>
      <c r="C11" s="725"/>
      <c r="D11" s="742"/>
      <c r="E11" s="756"/>
      <c r="F11" s="661" t="str">
        <f t="shared" si="2"/>
        <v>----</v>
      </c>
      <c r="G11" s="756"/>
      <c r="H11" s="661" t="str">
        <f t="shared" si="0"/>
        <v>----</v>
      </c>
      <c r="I11" s="757"/>
      <c r="J11" s="660" t="str">
        <f t="shared" si="1"/>
        <v>----</v>
      </c>
    </row>
    <row r="12" spans="1:11">
      <c r="A12" s="120"/>
      <c r="B12" s="121"/>
      <c r="C12" s="725"/>
      <c r="D12" s="742"/>
      <c r="E12" s="756"/>
      <c r="F12" s="661" t="str">
        <f t="shared" si="2"/>
        <v>----</v>
      </c>
      <c r="G12" s="756"/>
      <c r="H12" s="661" t="str">
        <f t="shared" si="0"/>
        <v>----</v>
      </c>
      <c r="I12" s="757"/>
      <c r="J12" s="660" t="str">
        <f t="shared" si="1"/>
        <v>----</v>
      </c>
    </row>
    <row r="13" spans="1:11">
      <c r="A13" s="120"/>
      <c r="B13" s="121"/>
      <c r="C13" s="725"/>
      <c r="D13" s="742"/>
      <c r="E13" s="756"/>
      <c r="F13" s="661" t="str">
        <f t="shared" si="2"/>
        <v>----</v>
      </c>
      <c r="G13" s="756"/>
      <c r="H13" s="661" t="str">
        <f t="shared" si="0"/>
        <v>----</v>
      </c>
      <c r="I13" s="757"/>
      <c r="J13" s="660" t="str">
        <f t="shared" si="1"/>
        <v>----</v>
      </c>
    </row>
    <row r="14" spans="1:11">
      <c r="A14" s="120"/>
      <c r="B14" s="121"/>
      <c r="C14" s="725"/>
      <c r="D14" s="742"/>
      <c r="E14" s="756"/>
      <c r="F14" s="661" t="str">
        <f t="shared" si="2"/>
        <v>----</v>
      </c>
      <c r="G14" s="756"/>
      <c r="H14" s="661" t="str">
        <f t="shared" si="0"/>
        <v>----</v>
      </c>
      <c r="I14" s="757"/>
      <c r="J14" s="660" t="str">
        <f t="shared" si="1"/>
        <v>----</v>
      </c>
    </row>
    <row r="15" spans="1:11">
      <c r="A15" s="120"/>
      <c r="B15" s="121"/>
      <c r="C15" s="725"/>
      <c r="D15" s="742"/>
      <c r="E15" s="756"/>
      <c r="F15" s="661" t="str">
        <f t="shared" si="2"/>
        <v>----</v>
      </c>
      <c r="G15" s="756"/>
      <c r="H15" s="661" t="str">
        <f t="shared" si="0"/>
        <v>----</v>
      </c>
      <c r="I15" s="757"/>
      <c r="J15" s="660" t="str">
        <f t="shared" si="1"/>
        <v>----</v>
      </c>
    </row>
    <row r="16" spans="1:11">
      <c r="A16" s="120"/>
      <c r="B16" s="121"/>
      <c r="C16" s="725"/>
      <c r="D16" s="742"/>
      <c r="E16" s="756"/>
      <c r="F16" s="661" t="str">
        <f t="shared" si="2"/>
        <v>----</v>
      </c>
      <c r="G16" s="756"/>
      <c r="H16" s="661" t="str">
        <f t="shared" si="0"/>
        <v>----</v>
      </c>
      <c r="I16" s="757"/>
      <c r="J16" s="660" t="str">
        <f t="shared" si="1"/>
        <v>----</v>
      </c>
    </row>
    <row r="17" spans="1:10">
      <c r="A17" s="123"/>
      <c r="B17" s="124"/>
      <c r="C17" s="726"/>
      <c r="D17" s="743"/>
      <c r="E17" s="764"/>
      <c r="F17" s="661" t="str">
        <f t="shared" si="2"/>
        <v>----</v>
      </c>
      <c r="G17" s="764"/>
      <c r="H17" s="661" t="str">
        <f t="shared" si="0"/>
        <v>----</v>
      </c>
      <c r="I17" s="765"/>
      <c r="J17" s="660" t="str">
        <f t="shared" si="1"/>
        <v>----</v>
      </c>
    </row>
    <row r="18" spans="1:10" ht="15.75" thickBot="1">
      <c r="A18" s="74"/>
      <c r="B18" s="75"/>
      <c r="C18" s="723"/>
      <c r="D18" s="731"/>
      <c r="E18" s="741"/>
      <c r="F18" s="766" t="str">
        <f t="shared" si="2"/>
        <v>----</v>
      </c>
      <c r="G18" s="741"/>
      <c r="H18" s="766" t="str">
        <f t="shared" si="0"/>
        <v>----</v>
      </c>
      <c r="I18" s="736"/>
      <c r="J18" s="767" t="str">
        <f t="shared" si="1"/>
        <v>----</v>
      </c>
    </row>
    <row r="19" spans="1:10" ht="15.75" thickBot="1">
      <c r="A19" s="27"/>
      <c r="B19" s="27"/>
      <c r="C19" s="28"/>
      <c r="D19" s="28"/>
      <c r="E19" s="439"/>
      <c r="F19" s="441">
        <f>SUM(F4:F18)</f>
        <v>-13595.389999999985</v>
      </c>
      <c r="G19" s="439"/>
      <c r="H19" s="441">
        <f>SUM(H4:H18)</f>
        <v>-9059.6600000000326</v>
      </c>
      <c r="I19" s="28"/>
      <c r="J19" s="69">
        <f>SUM(J4:J18)</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1FAEB-F581-4DEF-8544-195B9F8F82E3}">
  <dimension ref="A1:K29"/>
  <sheetViews>
    <sheetView workbookViewId="0">
      <selection activeCell="D10" sqref="D10"/>
    </sheetView>
  </sheetViews>
  <sheetFormatPr defaultRowHeight="15"/>
  <cols>
    <col min="2" max="2" width="23.7109375" bestFit="1" customWidth="1"/>
    <col min="3" max="3" width="10" bestFit="1" customWidth="1"/>
    <col min="4" max="4" width="11.5703125" customWidth="1"/>
    <col min="5" max="5" width="11.5703125" style="432" customWidth="1"/>
    <col min="6" max="6" width="13.85546875" style="432" customWidth="1"/>
    <col min="7" max="7" width="11.5703125" style="432" customWidth="1"/>
    <col min="8" max="8" width="13.85546875" style="432" customWidth="1"/>
    <col min="9" max="9" width="11.5703125" customWidth="1"/>
    <col min="10" max="10" width="13.85546875" customWidth="1"/>
  </cols>
  <sheetData>
    <row r="1" spans="1:11" ht="15.75" thickBot="1">
      <c r="A1" s="952" t="s">
        <v>158</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46.5" thickBot="1">
      <c r="A3" s="960"/>
      <c r="B3" s="962"/>
      <c r="C3" s="962"/>
      <c r="D3" s="974"/>
      <c r="E3" s="460" t="s">
        <v>121</v>
      </c>
      <c r="F3" s="468" t="s">
        <v>113</v>
      </c>
      <c r="G3" s="460" t="s">
        <v>121</v>
      </c>
      <c r="H3" s="468" t="s">
        <v>113</v>
      </c>
      <c r="I3" s="478" t="s">
        <v>121</v>
      </c>
      <c r="J3" s="25" t="s">
        <v>113</v>
      </c>
    </row>
    <row r="4" spans="1:11">
      <c r="A4" s="70">
        <v>43816</v>
      </c>
      <c r="B4" s="71" t="s">
        <v>161</v>
      </c>
      <c r="C4" s="104">
        <v>619973.69999999995</v>
      </c>
      <c r="D4" s="530">
        <v>540968.18000000005</v>
      </c>
      <c r="E4" s="540">
        <f>609367.21-79005.52</f>
        <v>530361.68999999994</v>
      </c>
      <c r="F4" s="470">
        <f t="shared" ref="F4:F28" si="0">IF(ISBLANK(E4),"----",E4-D4)</f>
        <v>-10606.490000000107</v>
      </c>
      <c r="G4" s="540" t="s">
        <v>703</v>
      </c>
      <c r="H4" s="470" t="str">
        <f t="shared" ref="H4:H28" si="1">IF(OR(G4="Complete",ISBLANK(G4)),"----",G4-$D4)</f>
        <v>----</v>
      </c>
      <c r="I4" s="535" t="s">
        <v>703</v>
      </c>
      <c r="J4" s="73" t="str">
        <f t="shared" ref="J4:J28" si="2">IF(OR(I4="Complete",ISBLANK(I4)),"----",I4-$D4)</f>
        <v>----</v>
      </c>
      <c r="K4" s="22" t="s">
        <v>163</v>
      </c>
    </row>
    <row r="5" spans="1:11">
      <c r="A5" s="88">
        <v>43816</v>
      </c>
      <c r="B5" s="101" t="s">
        <v>162</v>
      </c>
      <c r="C5" s="112">
        <v>393547.9</v>
      </c>
      <c r="D5" s="531">
        <f>C5</f>
        <v>393547.9</v>
      </c>
      <c r="E5" s="541">
        <v>394376.07</v>
      </c>
      <c r="F5" s="472">
        <f t="shared" si="0"/>
        <v>828.1699999999837</v>
      </c>
      <c r="G5" s="541" t="s">
        <v>703</v>
      </c>
      <c r="H5" s="472" t="str">
        <f t="shared" si="1"/>
        <v>----</v>
      </c>
      <c r="I5" s="536" t="s">
        <v>703</v>
      </c>
      <c r="J5" s="83" t="str">
        <f t="shared" si="2"/>
        <v>----</v>
      </c>
    </row>
    <row r="6" spans="1:11">
      <c r="A6" s="110">
        <v>44061</v>
      </c>
      <c r="B6" s="111" t="s">
        <v>302</v>
      </c>
      <c r="C6" s="113">
        <v>526549.01</v>
      </c>
      <c r="D6" s="583">
        <v>251264.01</v>
      </c>
      <c r="E6" s="585">
        <v>247856.43</v>
      </c>
      <c r="F6" s="472">
        <f t="shared" si="0"/>
        <v>-3407.5800000000163</v>
      </c>
      <c r="G6" s="585" t="s">
        <v>703</v>
      </c>
      <c r="H6" s="472" t="str">
        <f t="shared" si="1"/>
        <v>----</v>
      </c>
      <c r="I6" s="584" t="s">
        <v>703</v>
      </c>
      <c r="J6" s="83" t="str">
        <f t="shared" si="2"/>
        <v>----</v>
      </c>
    </row>
    <row r="7" spans="1:11">
      <c r="A7" s="120">
        <v>44516</v>
      </c>
      <c r="B7" s="121" t="s">
        <v>471</v>
      </c>
      <c r="C7" s="229">
        <v>240684.43</v>
      </c>
      <c r="D7" s="553">
        <f>C7</f>
        <v>240684.43</v>
      </c>
      <c r="E7" s="542">
        <v>241479.78</v>
      </c>
      <c r="F7" s="472">
        <f t="shared" si="0"/>
        <v>795.35000000000582</v>
      </c>
      <c r="G7" s="542" t="s">
        <v>703</v>
      </c>
      <c r="H7" s="472" t="str">
        <f t="shared" si="1"/>
        <v>----</v>
      </c>
      <c r="I7" s="537" t="s">
        <v>703</v>
      </c>
      <c r="J7" s="83" t="str">
        <f t="shared" si="2"/>
        <v>----</v>
      </c>
    </row>
    <row r="8" spans="1:11">
      <c r="A8" s="120">
        <v>45552</v>
      </c>
      <c r="B8" s="121" t="s">
        <v>776</v>
      </c>
      <c r="C8" s="229">
        <v>278674.15000000002</v>
      </c>
      <c r="D8" s="553">
        <f>C8</f>
        <v>278674.15000000002</v>
      </c>
      <c r="E8" s="542"/>
      <c r="F8" s="472" t="str">
        <f t="shared" si="0"/>
        <v>----</v>
      </c>
      <c r="G8" s="542"/>
      <c r="H8" s="472" t="str">
        <f t="shared" si="1"/>
        <v>----</v>
      </c>
      <c r="I8" s="537"/>
      <c r="J8" s="83" t="str">
        <f t="shared" si="2"/>
        <v>----</v>
      </c>
    </row>
    <row r="9" spans="1:11">
      <c r="A9" s="120">
        <v>45853</v>
      </c>
      <c r="B9" s="121" t="s">
        <v>892</v>
      </c>
      <c r="C9" s="725">
        <v>857116.9</v>
      </c>
      <c r="D9" s="553">
        <f>C9</f>
        <v>857116.9</v>
      </c>
      <c r="E9" s="542"/>
      <c r="F9" s="472" t="str">
        <f t="shared" si="0"/>
        <v>----</v>
      </c>
      <c r="G9" s="542"/>
      <c r="H9" s="472" t="str">
        <f t="shared" si="1"/>
        <v>----</v>
      </c>
      <c r="I9" s="537"/>
      <c r="J9" s="83" t="str">
        <f t="shared" si="2"/>
        <v>----</v>
      </c>
    </row>
    <row r="10" spans="1:11">
      <c r="A10" s="120"/>
      <c r="B10" s="121"/>
      <c r="C10" s="229"/>
      <c r="D10" s="553"/>
      <c r="E10" s="542"/>
      <c r="F10" s="472" t="str">
        <f t="shared" si="0"/>
        <v>----</v>
      </c>
      <c r="G10" s="542"/>
      <c r="H10" s="472" t="str">
        <f t="shared" si="1"/>
        <v>----</v>
      </c>
      <c r="I10" s="537"/>
      <c r="J10" s="83" t="str">
        <f t="shared" si="2"/>
        <v>----</v>
      </c>
    </row>
    <row r="11" spans="1:11">
      <c r="A11" s="120"/>
      <c r="B11" s="121"/>
      <c r="C11" s="229"/>
      <c r="D11" s="553"/>
      <c r="E11" s="542"/>
      <c r="F11" s="472" t="str">
        <f t="shared" si="0"/>
        <v>----</v>
      </c>
      <c r="G11" s="542"/>
      <c r="H11" s="472" t="str">
        <f t="shared" si="1"/>
        <v>----</v>
      </c>
      <c r="I11" s="537"/>
      <c r="J11" s="83" t="str">
        <f t="shared" si="2"/>
        <v>----</v>
      </c>
    </row>
    <row r="12" spans="1:11">
      <c r="A12" s="120"/>
      <c r="B12" s="121"/>
      <c r="C12" s="229"/>
      <c r="D12" s="553"/>
      <c r="E12" s="542"/>
      <c r="F12" s="472" t="str">
        <f t="shared" si="0"/>
        <v>----</v>
      </c>
      <c r="G12" s="542"/>
      <c r="H12" s="472" t="str">
        <f t="shared" si="1"/>
        <v>----</v>
      </c>
      <c r="I12" s="537"/>
      <c r="J12" s="83" t="str">
        <f t="shared" si="2"/>
        <v>----</v>
      </c>
    </row>
    <row r="13" spans="1:11">
      <c r="A13" s="120"/>
      <c r="B13" s="121"/>
      <c r="C13" s="229"/>
      <c r="D13" s="553"/>
      <c r="E13" s="542"/>
      <c r="F13" s="472" t="str">
        <f t="shared" si="0"/>
        <v>----</v>
      </c>
      <c r="G13" s="542"/>
      <c r="H13" s="472" t="str">
        <f t="shared" si="1"/>
        <v>----</v>
      </c>
      <c r="I13" s="537"/>
      <c r="J13" s="83" t="str">
        <f t="shared" si="2"/>
        <v>----</v>
      </c>
    </row>
    <row r="14" spans="1:11">
      <c r="A14" s="120"/>
      <c r="B14" s="121"/>
      <c r="C14" s="229"/>
      <c r="D14" s="553"/>
      <c r="E14" s="542"/>
      <c r="F14" s="472" t="str">
        <f t="shared" si="0"/>
        <v>----</v>
      </c>
      <c r="G14" s="542"/>
      <c r="H14" s="472" t="str">
        <f t="shared" si="1"/>
        <v>----</v>
      </c>
      <c r="I14" s="537"/>
      <c r="J14" s="83" t="str">
        <f t="shared" si="2"/>
        <v>----</v>
      </c>
    </row>
    <row r="15" spans="1:11">
      <c r="A15" s="120"/>
      <c r="B15" s="121"/>
      <c r="C15" s="229"/>
      <c r="D15" s="553"/>
      <c r="E15" s="542"/>
      <c r="F15" s="472" t="str">
        <f t="shared" si="0"/>
        <v>----</v>
      </c>
      <c r="G15" s="542"/>
      <c r="H15" s="472" t="str">
        <f t="shared" si="1"/>
        <v>----</v>
      </c>
      <c r="I15" s="537"/>
      <c r="J15" s="83" t="str">
        <f t="shared" si="2"/>
        <v>----</v>
      </c>
    </row>
    <row r="16" spans="1:11">
      <c r="A16" s="120"/>
      <c r="B16" s="121"/>
      <c r="C16" s="229"/>
      <c r="D16" s="553"/>
      <c r="E16" s="542"/>
      <c r="F16" s="472" t="str">
        <f t="shared" si="0"/>
        <v>----</v>
      </c>
      <c r="G16" s="542"/>
      <c r="H16" s="472" t="str">
        <f t="shared" si="1"/>
        <v>----</v>
      </c>
      <c r="I16" s="537"/>
      <c r="J16" s="83" t="str">
        <f t="shared" si="2"/>
        <v>----</v>
      </c>
    </row>
    <row r="17" spans="1:10">
      <c r="A17" s="120"/>
      <c r="B17" s="121"/>
      <c r="C17" s="229"/>
      <c r="D17" s="553"/>
      <c r="E17" s="542"/>
      <c r="F17" s="472" t="str">
        <f t="shared" si="0"/>
        <v>----</v>
      </c>
      <c r="G17" s="542"/>
      <c r="H17" s="472" t="str">
        <f t="shared" si="1"/>
        <v>----</v>
      </c>
      <c r="I17" s="537"/>
      <c r="J17" s="83" t="str">
        <f t="shared" si="2"/>
        <v>----</v>
      </c>
    </row>
    <row r="18" spans="1:10">
      <c r="A18" s="120"/>
      <c r="B18" s="121"/>
      <c r="C18" s="229"/>
      <c r="D18" s="553"/>
      <c r="E18" s="542"/>
      <c r="F18" s="472" t="str">
        <f t="shared" si="0"/>
        <v>----</v>
      </c>
      <c r="G18" s="542"/>
      <c r="H18" s="472" t="str">
        <f t="shared" si="1"/>
        <v>----</v>
      </c>
      <c r="I18" s="537"/>
      <c r="J18" s="83" t="str">
        <f t="shared" si="2"/>
        <v>----</v>
      </c>
    </row>
    <row r="19" spans="1:10">
      <c r="A19" s="120"/>
      <c r="B19" s="121"/>
      <c r="C19" s="229"/>
      <c r="D19" s="553"/>
      <c r="E19" s="542"/>
      <c r="F19" s="472" t="str">
        <f t="shared" si="0"/>
        <v>----</v>
      </c>
      <c r="G19" s="542"/>
      <c r="H19" s="472" t="str">
        <f t="shared" si="1"/>
        <v>----</v>
      </c>
      <c r="I19" s="537"/>
      <c r="J19" s="83" t="str">
        <f t="shared" si="2"/>
        <v>----</v>
      </c>
    </row>
    <row r="20" spans="1:10">
      <c r="A20" s="120"/>
      <c r="B20" s="121"/>
      <c r="C20" s="229"/>
      <c r="D20" s="553"/>
      <c r="E20" s="542"/>
      <c r="F20" s="472" t="str">
        <f t="shared" si="0"/>
        <v>----</v>
      </c>
      <c r="G20" s="542"/>
      <c r="H20" s="472" t="str">
        <f t="shared" si="1"/>
        <v>----</v>
      </c>
      <c r="I20" s="537"/>
      <c r="J20" s="83" t="str">
        <f t="shared" si="2"/>
        <v>----</v>
      </c>
    </row>
    <row r="21" spans="1:10">
      <c r="A21" s="120"/>
      <c r="B21" s="121"/>
      <c r="C21" s="229"/>
      <c r="D21" s="553"/>
      <c r="E21" s="542"/>
      <c r="F21" s="472" t="str">
        <f t="shared" si="0"/>
        <v>----</v>
      </c>
      <c r="G21" s="542"/>
      <c r="H21" s="472" t="str">
        <f t="shared" si="1"/>
        <v>----</v>
      </c>
      <c r="I21" s="537"/>
      <c r="J21" s="83" t="str">
        <f t="shared" si="2"/>
        <v>----</v>
      </c>
    </row>
    <row r="22" spans="1:10">
      <c r="A22" s="120"/>
      <c r="B22" s="121"/>
      <c r="C22" s="229"/>
      <c r="D22" s="553"/>
      <c r="E22" s="542"/>
      <c r="F22" s="472" t="str">
        <f t="shared" si="0"/>
        <v>----</v>
      </c>
      <c r="G22" s="542"/>
      <c r="H22" s="472" t="str">
        <f t="shared" si="1"/>
        <v>----</v>
      </c>
      <c r="I22" s="537"/>
      <c r="J22" s="83" t="str">
        <f t="shared" si="2"/>
        <v>----</v>
      </c>
    </row>
    <row r="23" spans="1:10">
      <c r="A23" s="120"/>
      <c r="B23" s="121"/>
      <c r="C23" s="229"/>
      <c r="D23" s="553"/>
      <c r="E23" s="542"/>
      <c r="F23" s="472" t="str">
        <f t="shared" si="0"/>
        <v>----</v>
      </c>
      <c r="G23" s="542"/>
      <c r="H23" s="472" t="str">
        <f t="shared" si="1"/>
        <v>----</v>
      </c>
      <c r="I23" s="537"/>
      <c r="J23" s="83" t="str">
        <f t="shared" si="2"/>
        <v>----</v>
      </c>
    </row>
    <row r="24" spans="1:10">
      <c r="A24" s="120"/>
      <c r="B24" s="121"/>
      <c r="C24" s="229"/>
      <c r="D24" s="553"/>
      <c r="E24" s="542"/>
      <c r="F24" s="472" t="str">
        <f t="shared" si="0"/>
        <v>----</v>
      </c>
      <c r="G24" s="542"/>
      <c r="H24" s="472" t="str">
        <f t="shared" si="1"/>
        <v>----</v>
      </c>
      <c r="I24" s="537"/>
      <c r="J24" s="83" t="str">
        <f t="shared" si="2"/>
        <v>----</v>
      </c>
    </row>
    <row r="25" spans="1:10">
      <c r="A25" s="120"/>
      <c r="B25" s="121"/>
      <c r="C25" s="229"/>
      <c r="D25" s="553"/>
      <c r="E25" s="542"/>
      <c r="F25" s="472" t="str">
        <f t="shared" si="0"/>
        <v>----</v>
      </c>
      <c r="G25" s="542"/>
      <c r="H25" s="472" t="str">
        <f t="shared" si="1"/>
        <v>----</v>
      </c>
      <c r="I25" s="537"/>
      <c r="J25" s="83" t="str">
        <f t="shared" si="2"/>
        <v>----</v>
      </c>
    </row>
    <row r="26" spans="1:10">
      <c r="A26" s="120"/>
      <c r="B26" s="121"/>
      <c r="C26" s="229"/>
      <c r="D26" s="553"/>
      <c r="E26" s="542"/>
      <c r="F26" s="472" t="str">
        <f t="shared" si="0"/>
        <v>----</v>
      </c>
      <c r="G26" s="542"/>
      <c r="H26" s="472" t="str">
        <f t="shared" si="1"/>
        <v>----</v>
      </c>
      <c r="I26" s="537"/>
      <c r="J26" s="83" t="str">
        <f t="shared" si="2"/>
        <v>----</v>
      </c>
    </row>
    <row r="27" spans="1:10">
      <c r="A27" s="123"/>
      <c r="B27" s="124"/>
      <c r="C27" s="230"/>
      <c r="D27" s="554"/>
      <c r="E27" s="543"/>
      <c r="F27" s="472" t="str">
        <f t="shared" si="0"/>
        <v>----</v>
      </c>
      <c r="G27" s="543"/>
      <c r="H27" s="472" t="str">
        <f t="shared" si="1"/>
        <v>----</v>
      </c>
      <c r="I27" s="538"/>
      <c r="J27" s="83" t="str">
        <f t="shared" si="2"/>
        <v>----</v>
      </c>
    </row>
    <row r="28" spans="1:10" ht="15.75" thickBot="1">
      <c r="A28" s="109"/>
      <c r="B28" s="75"/>
      <c r="C28" s="106"/>
      <c r="D28" s="534"/>
      <c r="E28" s="544"/>
      <c r="F28" s="476" t="str">
        <f t="shared" si="0"/>
        <v>----</v>
      </c>
      <c r="G28" s="544"/>
      <c r="H28" s="476" t="str">
        <f t="shared" si="1"/>
        <v>----</v>
      </c>
      <c r="I28" s="539"/>
      <c r="J28" s="77" t="str">
        <f t="shared" si="2"/>
        <v>----</v>
      </c>
    </row>
    <row r="29" spans="1:10" ht="15.75" thickBot="1">
      <c r="A29" s="27"/>
      <c r="B29" s="27"/>
      <c r="C29" s="28"/>
      <c r="D29" s="28"/>
      <c r="E29" s="439"/>
      <c r="F29" s="441">
        <f>SUM(F4:F28)</f>
        <v>-12390.550000000134</v>
      </c>
      <c r="G29" s="439"/>
      <c r="H29" s="441">
        <f>SUM(H4:H28)</f>
        <v>0</v>
      </c>
      <c r="I29" s="28"/>
      <c r="J29" s="69">
        <f>SUM(J4:J28)</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BA0D-EF37-416F-8986-1089664B14F0}">
  <dimension ref="A1:K28"/>
  <sheetViews>
    <sheetView workbookViewId="0">
      <selection activeCell="F16" sqref="F16"/>
    </sheetView>
  </sheetViews>
  <sheetFormatPr defaultRowHeight="15"/>
  <cols>
    <col min="2" max="2" width="21.42578125" bestFit="1" customWidth="1"/>
    <col min="3" max="3" width="10.7109375" bestFit="1" customWidth="1"/>
    <col min="4" max="4" width="11.5703125" customWidth="1"/>
    <col min="5" max="5" width="9.140625" style="432"/>
    <col min="6" max="6" width="13.85546875" style="432" customWidth="1"/>
    <col min="7" max="7" width="10.7109375" style="432" bestFit="1" customWidth="1"/>
    <col min="8" max="8" width="13.85546875" style="432" customWidth="1"/>
    <col min="10" max="10" width="13.85546875" customWidth="1"/>
  </cols>
  <sheetData>
    <row r="1" spans="1:11" ht="15.75" thickBot="1">
      <c r="A1" s="952" t="s">
        <v>288</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46.5" thickBot="1">
      <c r="A3" s="960"/>
      <c r="B3" s="962"/>
      <c r="C3" s="962"/>
      <c r="D3" s="974"/>
      <c r="E3" s="460" t="s">
        <v>121</v>
      </c>
      <c r="F3" s="468" t="s">
        <v>113</v>
      </c>
      <c r="G3" s="460" t="s">
        <v>121</v>
      </c>
      <c r="H3" s="468" t="s">
        <v>113</v>
      </c>
      <c r="I3" s="478" t="s">
        <v>121</v>
      </c>
      <c r="J3" s="25" t="s">
        <v>113</v>
      </c>
    </row>
    <row r="4" spans="1:11">
      <c r="A4" s="70">
        <v>44635</v>
      </c>
      <c r="B4" s="71" t="s">
        <v>505</v>
      </c>
      <c r="C4" s="781">
        <v>969749.6</v>
      </c>
      <c r="D4" s="787">
        <f>C4</f>
        <v>969749.6</v>
      </c>
      <c r="E4" s="794"/>
      <c r="F4" s="803" t="str">
        <f t="shared" ref="F4:F27" si="0">IF(ISBLANK(E4),"----",E4-D4)</f>
        <v>----</v>
      </c>
      <c r="G4" s="794">
        <v>981306.57</v>
      </c>
      <c r="H4" s="803">
        <f t="shared" ref="H4:H27" si="1">IF(OR(G4="Complete",ISBLANK(G4)),"----",G4-$D4)</f>
        <v>11556.969999999972</v>
      </c>
      <c r="I4" s="791" t="s">
        <v>703</v>
      </c>
      <c r="J4" s="804" t="str">
        <f t="shared" ref="J4:J27" si="2">IF(OR(I4="Complete",ISBLANK(I4)),"----",I4-$D4)</f>
        <v>----</v>
      </c>
      <c r="K4" s="22"/>
    </row>
    <row r="5" spans="1:11">
      <c r="A5" s="88">
        <v>45679</v>
      </c>
      <c r="B5" s="697" t="s">
        <v>827</v>
      </c>
      <c r="C5" s="784">
        <v>626193.72</v>
      </c>
      <c r="D5" s="788">
        <f>C5</f>
        <v>626193.72</v>
      </c>
      <c r="E5" s="795"/>
      <c r="F5" s="807" t="str">
        <f t="shared" si="0"/>
        <v>----</v>
      </c>
      <c r="G5" s="795"/>
      <c r="H5" s="807" t="str">
        <f t="shared" si="1"/>
        <v>----</v>
      </c>
      <c r="I5" s="792"/>
      <c r="J5" s="808" t="str">
        <f t="shared" si="2"/>
        <v>----</v>
      </c>
    </row>
    <row r="6" spans="1:11">
      <c r="A6" s="88"/>
      <c r="B6" s="101"/>
      <c r="C6" s="784"/>
      <c r="D6" s="788"/>
      <c r="E6" s="795"/>
      <c r="F6" s="807" t="str">
        <f t="shared" si="0"/>
        <v>----</v>
      </c>
      <c r="G6" s="795"/>
      <c r="H6" s="807" t="str">
        <f t="shared" si="1"/>
        <v>----</v>
      </c>
      <c r="I6" s="792"/>
      <c r="J6" s="808" t="str">
        <f t="shared" si="2"/>
        <v>----</v>
      </c>
    </row>
    <row r="7" spans="1:11">
      <c r="A7" s="88"/>
      <c r="B7" s="101"/>
      <c r="C7" s="784"/>
      <c r="D7" s="788"/>
      <c r="E7" s="795"/>
      <c r="F7" s="807" t="str">
        <f t="shared" si="0"/>
        <v>----</v>
      </c>
      <c r="G7" s="795"/>
      <c r="H7" s="807" t="str">
        <f t="shared" si="1"/>
        <v>----</v>
      </c>
      <c r="I7" s="792"/>
      <c r="J7" s="808" t="str">
        <f t="shared" si="2"/>
        <v>----</v>
      </c>
    </row>
    <row r="8" spans="1:11">
      <c r="A8" s="88"/>
      <c r="B8" s="101"/>
      <c r="C8" s="784"/>
      <c r="D8" s="788"/>
      <c r="E8" s="795"/>
      <c r="F8" s="807" t="str">
        <f t="shared" si="0"/>
        <v>----</v>
      </c>
      <c r="G8" s="795"/>
      <c r="H8" s="807" t="str">
        <f t="shared" si="1"/>
        <v>----</v>
      </c>
      <c r="I8" s="792"/>
      <c r="J8" s="808" t="str">
        <f t="shared" si="2"/>
        <v>----</v>
      </c>
    </row>
    <row r="9" spans="1:11">
      <c r="A9" s="88"/>
      <c r="B9" s="101"/>
      <c r="C9" s="784"/>
      <c r="D9" s="788"/>
      <c r="E9" s="795"/>
      <c r="F9" s="807" t="str">
        <f t="shared" si="0"/>
        <v>----</v>
      </c>
      <c r="G9" s="795"/>
      <c r="H9" s="807" t="str">
        <f t="shared" si="1"/>
        <v>----</v>
      </c>
      <c r="I9" s="792"/>
      <c r="J9" s="808" t="str">
        <f t="shared" si="2"/>
        <v>----</v>
      </c>
    </row>
    <row r="10" spans="1:11">
      <c r="A10" s="88"/>
      <c r="B10" s="101"/>
      <c r="C10" s="784"/>
      <c r="D10" s="788"/>
      <c r="E10" s="795"/>
      <c r="F10" s="807" t="str">
        <f t="shared" si="0"/>
        <v>----</v>
      </c>
      <c r="G10" s="795"/>
      <c r="H10" s="807" t="str">
        <f t="shared" si="1"/>
        <v>----</v>
      </c>
      <c r="I10" s="792"/>
      <c r="J10" s="808" t="str">
        <f t="shared" si="2"/>
        <v>----</v>
      </c>
    </row>
    <row r="11" spans="1:11">
      <c r="A11" s="88"/>
      <c r="B11" s="101"/>
      <c r="C11" s="784"/>
      <c r="D11" s="788"/>
      <c r="E11" s="795"/>
      <c r="F11" s="807" t="str">
        <f t="shared" si="0"/>
        <v>----</v>
      </c>
      <c r="G11" s="795"/>
      <c r="H11" s="807" t="str">
        <f t="shared" si="1"/>
        <v>----</v>
      </c>
      <c r="I11" s="792"/>
      <c r="J11" s="808" t="str">
        <f t="shared" si="2"/>
        <v>----</v>
      </c>
    </row>
    <row r="12" spans="1:11">
      <c r="A12" s="88"/>
      <c r="B12" s="101"/>
      <c r="C12" s="784"/>
      <c r="D12" s="788"/>
      <c r="E12" s="795"/>
      <c r="F12" s="807" t="str">
        <f t="shared" si="0"/>
        <v>----</v>
      </c>
      <c r="G12" s="795"/>
      <c r="H12" s="807" t="str">
        <f t="shared" si="1"/>
        <v>----</v>
      </c>
      <c r="I12" s="792"/>
      <c r="J12" s="808" t="str">
        <f t="shared" si="2"/>
        <v>----</v>
      </c>
    </row>
    <row r="13" spans="1:11">
      <c r="A13" s="88"/>
      <c r="B13" s="101"/>
      <c r="C13" s="784"/>
      <c r="D13" s="788"/>
      <c r="E13" s="795"/>
      <c r="F13" s="807" t="str">
        <f t="shared" si="0"/>
        <v>----</v>
      </c>
      <c r="G13" s="795"/>
      <c r="H13" s="807" t="str">
        <f t="shared" si="1"/>
        <v>----</v>
      </c>
      <c r="I13" s="792"/>
      <c r="J13" s="808" t="str">
        <f t="shared" si="2"/>
        <v>----</v>
      </c>
    </row>
    <row r="14" spans="1:11">
      <c r="A14" s="88"/>
      <c r="B14" s="101"/>
      <c r="C14" s="784"/>
      <c r="D14" s="788"/>
      <c r="E14" s="795"/>
      <c r="F14" s="807" t="str">
        <f t="shared" si="0"/>
        <v>----</v>
      </c>
      <c r="G14" s="795"/>
      <c r="H14" s="807" t="str">
        <f t="shared" si="1"/>
        <v>----</v>
      </c>
      <c r="I14" s="792"/>
      <c r="J14" s="808" t="str">
        <f t="shared" si="2"/>
        <v>----</v>
      </c>
    </row>
    <row r="15" spans="1:11">
      <c r="A15" s="88"/>
      <c r="B15" s="101"/>
      <c r="C15" s="784"/>
      <c r="D15" s="788"/>
      <c r="E15" s="795"/>
      <c r="F15" s="807" t="str">
        <f t="shared" si="0"/>
        <v>----</v>
      </c>
      <c r="G15" s="795"/>
      <c r="H15" s="807" t="str">
        <f t="shared" si="1"/>
        <v>----</v>
      </c>
      <c r="I15" s="792"/>
      <c r="J15" s="808" t="str">
        <f t="shared" si="2"/>
        <v>----</v>
      </c>
    </row>
    <row r="16" spans="1:11">
      <c r="A16" s="88"/>
      <c r="B16" s="101"/>
      <c r="C16" s="784"/>
      <c r="D16" s="788"/>
      <c r="E16" s="795"/>
      <c r="F16" s="807" t="str">
        <f t="shared" si="0"/>
        <v>----</v>
      </c>
      <c r="G16" s="795"/>
      <c r="H16" s="807" t="str">
        <f t="shared" si="1"/>
        <v>----</v>
      </c>
      <c r="I16" s="792"/>
      <c r="J16" s="808" t="str">
        <f t="shared" si="2"/>
        <v>----</v>
      </c>
    </row>
    <row r="17" spans="1:10">
      <c r="A17" s="88"/>
      <c r="B17" s="101"/>
      <c r="C17" s="784"/>
      <c r="D17" s="788"/>
      <c r="E17" s="795"/>
      <c r="F17" s="807" t="str">
        <f t="shared" si="0"/>
        <v>----</v>
      </c>
      <c r="G17" s="795"/>
      <c r="H17" s="807" t="str">
        <f t="shared" si="1"/>
        <v>----</v>
      </c>
      <c r="I17" s="792"/>
      <c r="J17" s="808" t="str">
        <f t="shared" si="2"/>
        <v>----</v>
      </c>
    </row>
    <row r="18" spans="1:10">
      <c r="A18" s="88"/>
      <c r="B18" s="101"/>
      <c r="C18" s="784"/>
      <c r="D18" s="788"/>
      <c r="E18" s="795"/>
      <c r="F18" s="807" t="str">
        <f t="shared" si="0"/>
        <v>----</v>
      </c>
      <c r="G18" s="795"/>
      <c r="H18" s="807" t="str">
        <f t="shared" si="1"/>
        <v>----</v>
      </c>
      <c r="I18" s="792"/>
      <c r="J18" s="808" t="str">
        <f t="shared" si="2"/>
        <v>----</v>
      </c>
    </row>
    <row r="19" spans="1:10">
      <c r="A19" s="88"/>
      <c r="B19" s="101"/>
      <c r="C19" s="784"/>
      <c r="D19" s="788"/>
      <c r="E19" s="795"/>
      <c r="F19" s="807" t="str">
        <f t="shared" si="0"/>
        <v>----</v>
      </c>
      <c r="G19" s="795"/>
      <c r="H19" s="807" t="str">
        <f t="shared" si="1"/>
        <v>----</v>
      </c>
      <c r="I19" s="792"/>
      <c r="J19" s="808" t="str">
        <f t="shared" si="2"/>
        <v>----</v>
      </c>
    </row>
    <row r="20" spans="1:10">
      <c r="A20" s="88"/>
      <c r="B20" s="101"/>
      <c r="C20" s="784"/>
      <c r="D20" s="788"/>
      <c r="E20" s="795"/>
      <c r="F20" s="807" t="str">
        <f t="shared" si="0"/>
        <v>----</v>
      </c>
      <c r="G20" s="795"/>
      <c r="H20" s="807" t="str">
        <f t="shared" si="1"/>
        <v>----</v>
      </c>
      <c r="I20" s="792"/>
      <c r="J20" s="808" t="str">
        <f t="shared" si="2"/>
        <v>----</v>
      </c>
    </row>
    <row r="21" spans="1:10">
      <c r="A21" s="88"/>
      <c r="B21" s="101"/>
      <c r="C21" s="784"/>
      <c r="D21" s="788"/>
      <c r="E21" s="795"/>
      <c r="F21" s="807" t="str">
        <f t="shared" si="0"/>
        <v>----</v>
      </c>
      <c r="G21" s="795"/>
      <c r="H21" s="807" t="str">
        <f t="shared" si="1"/>
        <v>----</v>
      </c>
      <c r="I21" s="792"/>
      <c r="J21" s="808" t="str">
        <f t="shared" si="2"/>
        <v>----</v>
      </c>
    </row>
    <row r="22" spans="1:10">
      <c r="A22" s="88"/>
      <c r="B22" s="101"/>
      <c r="C22" s="784"/>
      <c r="D22" s="788"/>
      <c r="E22" s="795"/>
      <c r="F22" s="807" t="str">
        <f t="shared" si="0"/>
        <v>----</v>
      </c>
      <c r="G22" s="795"/>
      <c r="H22" s="807" t="str">
        <f t="shared" si="1"/>
        <v>----</v>
      </c>
      <c r="I22" s="792"/>
      <c r="J22" s="808" t="str">
        <f t="shared" si="2"/>
        <v>----</v>
      </c>
    </row>
    <row r="23" spans="1:10">
      <c r="A23" s="88"/>
      <c r="B23" s="101"/>
      <c r="C23" s="784"/>
      <c r="D23" s="788"/>
      <c r="E23" s="795"/>
      <c r="F23" s="807" t="str">
        <f t="shared" si="0"/>
        <v>----</v>
      </c>
      <c r="G23" s="795"/>
      <c r="H23" s="807" t="str">
        <f t="shared" si="1"/>
        <v>----</v>
      </c>
      <c r="I23" s="792"/>
      <c r="J23" s="808" t="str">
        <f t="shared" si="2"/>
        <v>----</v>
      </c>
    </row>
    <row r="24" spans="1:10">
      <c r="A24" s="88"/>
      <c r="B24" s="101"/>
      <c r="C24" s="784"/>
      <c r="D24" s="788"/>
      <c r="E24" s="795"/>
      <c r="F24" s="807" t="str">
        <f t="shared" si="0"/>
        <v>----</v>
      </c>
      <c r="G24" s="795"/>
      <c r="H24" s="807" t="str">
        <f t="shared" si="1"/>
        <v>----</v>
      </c>
      <c r="I24" s="792"/>
      <c r="J24" s="808" t="str">
        <f t="shared" si="2"/>
        <v>----</v>
      </c>
    </row>
    <row r="25" spans="1:10">
      <c r="A25" s="88"/>
      <c r="B25" s="101"/>
      <c r="C25" s="784"/>
      <c r="D25" s="788"/>
      <c r="E25" s="795"/>
      <c r="F25" s="807" t="str">
        <f t="shared" si="0"/>
        <v>----</v>
      </c>
      <c r="G25" s="795"/>
      <c r="H25" s="807" t="str">
        <f t="shared" si="1"/>
        <v>----</v>
      </c>
      <c r="I25" s="792"/>
      <c r="J25" s="808" t="str">
        <f t="shared" si="2"/>
        <v>----</v>
      </c>
    </row>
    <row r="26" spans="1:10">
      <c r="A26" s="88"/>
      <c r="B26" s="101"/>
      <c r="C26" s="784"/>
      <c r="D26" s="788"/>
      <c r="E26" s="795"/>
      <c r="F26" s="807" t="str">
        <f t="shared" si="0"/>
        <v>----</v>
      </c>
      <c r="G26" s="795"/>
      <c r="H26" s="807" t="str">
        <f t="shared" si="1"/>
        <v>----</v>
      </c>
      <c r="I26" s="792"/>
      <c r="J26" s="808" t="str">
        <f t="shared" si="2"/>
        <v>----</v>
      </c>
    </row>
    <row r="27" spans="1:10" ht="15.75" thickBot="1">
      <c r="A27" s="74"/>
      <c r="B27" s="75"/>
      <c r="C27" s="783"/>
      <c r="D27" s="790"/>
      <c r="E27" s="796"/>
      <c r="F27" s="801" t="str">
        <f t="shared" si="0"/>
        <v>----</v>
      </c>
      <c r="G27" s="796"/>
      <c r="H27" s="801" t="str">
        <f t="shared" si="1"/>
        <v>----</v>
      </c>
      <c r="I27" s="793"/>
      <c r="J27" s="802" t="str">
        <f t="shared" si="2"/>
        <v>----</v>
      </c>
    </row>
    <row r="28" spans="1:10" ht="15.75" thickBot="1">
      <c r="A28" s="27"/>
      <c r="B28" s="27"/>
      <c r="C28" s="814"/>
      <c r="D28" s="814"/>
      <c r="E28" s="814"/>
      <c r="F28" s="815">
        <f>SUM(F4:F27)</f>
        <v>0</v>
      </c>
      <c r="G28" s="814"/>
      <c r="H28" s="815">
        <f>SUM(H4:H27)</f>
        <v>11556.969999999972</v>
      </c>
      <c r="I28" s="814"/>
      <c r="J28" s="815">
        <f>SUM(J4:J27)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C29DD-7020-45A4-BE65-F29FA8AA2BC3}">
  <dimension ref="A1:K20"/>
  <sheetViews>
    <sheetView workbookViewId="0">
      <selection activeCell="M21" sqref="M21"/>
    </sheetView>
  </sheetViews>
  <sheetFormatPr defaultRowHeight="15"/>
  <cols>
    <col min="2" max="2" width="23.7109375" bestFit="1" customWidth="1"/>
    <col min="3" max="3" width="10.7109375" bestFit="1" customWidth="1"/>
    <col min="4" max="4" width="12.28515625" customWidth="1"/>
    <col min="5" max="5" width="10.7109375" style="432" bestFit="1" customWidth="1"/>
    <col min="6" max="6" width="10.42578125" style="432" bestFit="1" customWidth="1"/>
    <col min="7" max="7" width="10.7109375" style="432" bestFit="1" customWidth="1"/>
    <col min="8" max="8" width="10.42578125" style="432" bestFit="1" customWidth="1"/>
    <col min="9" max="9" width="10.7109375" bestFit="1" customWidth="1"/>
    <col min="10" max="10" width="10.42578125" bestFit="1" customWidth="1"/>
  </cols>
  <sheetData>
    <row r="1" spans="1:11" ht="15.75" thickBot="1">
      <c r="A1" s="952" t="s">
        <v>188</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57.75" thickBot="1">
      <c r="A3" s="960"/>
      <c r="B3" s="962"/>
      <c r="C3" s="962"/>
      <c r="D3" s="974"/>
      <c r="E3" s="460" t="s">
        <v>121</v>
      </c>
      <c r="F3" s="468" t="s">
        <v>113</v>
      </c>
      <c r="G3" s="460" t="s">
        <v>121</v>
      </c>
      <c r="H3" s="468" t="s">
        <v>113</v>
      </c>
      <c r="I3" s="478" t="s">
        <v>121</v>
      </c>
      <c r="J3" s="25" t="s">
        <v>113</v>
      </c>
    </row>
    <row r="4" spans="1:11">
      <c r="A4" s="70">
        <v>43852</v>
      </c>
      <c r="B4" s="71" t="s">
        <v>189</v>
      </c>
      <c r="C4" s="72">
        <v>328686.63</v>
      </c>
      <c r="D4" s="429">
        <f>C4</f>
        <v>328686.63</v>
      </c>
      <c r="E4" s="469">
        <v>340322.04</v>
      </c>
      <c r="F4" s="470">
        <f t="shared" ref="F4:F19" si="0">IF(ISBLANK(E4),"----",E4-D4)</f>
        <v>11635.409999999974</v>
      </c>
      <c r="G4" s="469" t="s">
        <v>703</v>
      </c>
      <c r="H4" s="470" t="str">
        <f t="shared" ref="H4:H19" si="1">IF(OR(G4="Complete",ISBLANK(G4)),"----",G4-$D4)</f>
        <v>----</v>
      </c>
      <c r="I4" s="479" t="s">
        <v>703</v>
      </c>
      <c r="J4" s="73" t="str">
        <f t="shared" ref="J4:J19" si="2">IF(OR(I4="Complete",ISBLANK(I4)),"----",I4-$D4)</f>
        <v>----</v>
      </c>
    </row>
    <row r="5" spans="1:11">
      <c r="A5" s="88">
        <v>43852</v>
      </c>
      <c r="B5" s="101" t="s">
        <v>190</v>
      </c>
      <c r="C5" s="82">
        <v>313983.13</v>
      </c>
      <c r="D5" s="431">
        <f>C5</f>
        <v>313983.13</v>
      </c>
      <c r="E5" s="471">
        <v>333965.59000000003</v>
      </c>
      <c r="F5" s="472">
        <f t="shared" si="0"/>
        <v>19982.460000000021</v>
      </c>
      <c r="G5" s="471" t="s">
        <v>703</v>
      </c>
      <c r="H5" s="472" t="str">
        <f t="shared" si="1"/>
        <v>----</v>
      </c>
      <c r="I5" s="484" t="s">
        <v>703</v>
      </c>
      <c r="J5" s="83" t="str">
        <f t="shared" si="2"/>
        <v>----</v>
      </c>
    </row>
    <row r="6" spans="1:11">
      <c r="A6" s="102">
        <v>44124</v>
      </c>
      <c r="B6" s="103" t="s">
        <v>321</v>
      </c>
      <c r="C6" s="87">
        <v>945560.95</v>
      </c>
      <c r="D6" s="466">
        <f>C6</f>
        <v>945560.95</v>
      </c>
      <c r="E6" s="473">
        <v>964026.48</v>
      </c>
      <c r="F6" s="472">
        <f t="shared" si="0"/>
        <v>18465.530000000028</v>
      </c>
      <c r="G6" s="473" t="s">
        <v>703</v>
      </c>
      <c r="H6" s="472" t="str">
        <f t="shared" si="1"/>
        <v>----</v>
      </c>
      <c r="I6" s="486" t="s">
        <v>703</v>
      </c>
      <c r="J6" s="83" t="str">
        <f t="shared" si="2"/>
        <v>----</v>
      </c>
    </row>
    <row r="7" spans="1:11">
      <c r="A7" s="130">
        <v>44153</v>
      </c>
      <c r="B7" s="103" t="s">
        <v>344</v>
      </c>
      <c r="C7" s="87">
        <v>266083.8</v>
      </c>
      <c r="D7" s="466">
        <f>C7</f>
        <v>266083.8</v>
      </c>
      <c r="E7" s="473">
        <v>263462.09999999998</v>
      </c>
      <c r="F7" s="472">
        <f t="shared" si="0"/>
        <v>-2621.7000000000116</v>
      </c>
      <c r="G7" s="473" t="s">
        <v>703</v>
      </c>
      <c r="H7" s="472" t="str">
        <f t="shared" si="1"/>
        <v>----</v>
      </c>
      <c r="I7" s="486" t="s">
        <v>703</v>
      </c>
      <c r="J7" s="83" t="str">
        <f t="shared" si="2"/>
        <v>----</v>
      </c>
    </row>
    <row r="8" spans="1:11">
      <c r="A8" s="102">
        <v>44153</v>
      </c>
      <c r="B8" s="103" t="s">
        <v>345</v>
      </c>
      <c r="C8" s="87">
        <v>391936.2</v>
      </c>
      <c r="D8" s="466">
        <f>C8</f>
        <v>391936.2</v>
      </c>
      <c r="E8" s="473">
        <v>365725.49</v>
      </c>
      <c r="F8" s="472">
        <f t="shared" si="0"/>
        <v>-26210.710000000021</v>
      </c>
      <c r="G8" s="473" t="s">
        <v>703</v>
      </c>
      <c r="H8" s="472" t="str">
        <f t="shared" si="1"/>
        <v>----</v>
      </c>
      <c r="I8" s="486" t="s">
        <v>703</v>
      </c>
      <c r="J8" s="83" t="str">
        <f t="shared" si="2"/>
        <v>----</v>
      </c>
    </row>
    <row r="9" spans="1:11">
      <c r="A9" s="970">
        <v>44271</v>
      </c>
      <c r="B9" s="103" t="s">
        <v>410</v>
      </c>
      <c r="C9" s="87">
        <v>102512.25</v>
      </c>
      <c r="D9" s="466">
        <v>47892.25</v>
      </c>
      <c r="E9" s="473"/>
      <c r="F9" s="472" t="str">
        <f t="shared" si="0"/>
        <v>----</v>
      </c>
      <c r="G9" s="473"/>
      <c r="H9" s="472" t="str">
        <f t="shared" si="1"/>
        <v>----</v>
      </c>
      <c r="I9" s="486"/>
      <c r="J9" s="83" t="str">
        <f t="shared" si="2"/>
        <v>----</v>
      </c>
    </row>
    <row r="10" spans="1:11">
      <c r="A10" s="972"/>
      <c r="B10" s="103" t="s">
        <v>411</v>
      </c>
      <c r="C10" s="87">
        <v>151726.25</v>
      </c>
      <c r="D10" s="508">
        <v>0</v>
      </c>
      <c r="E10" s="473">
        <v>0</v>
      </c>
      <c r="F10" s="472">
        <f t="shared" si="0"/>
        <v>0</v>
      </c>
      <c r="G10" s="473">
        <v>0</v>
      </c>
      <c r="H10" s="472">
        <f t="shared" si="1"/>
        <v>0</v>
      </c>
      <c r="I10" s="486">
        <v>0</v>
      </c>
      <c r="J10" s="83">
        <f t="shared" si="2"/>
        <v>0</v>
      </c>
      <c r="K10" s="424" t="s">
        <v>700</v>
      </c>
    </row>
    <row r="11" spans="1:11">
      <c r="A11" s="102">
        <v>44516</v>
      </c>
      <c r="B11" s="103" t="s">
        <v>472</v>
      </c>
      <c r="C11" s="87">
        <v>283612.98</v>
      </c>
      <c r="D11" s="466">
        <f>C11</f>
        <v>283612.98</v>
      </c>
      <c r="E11" s="473">
        <v>282754.26</v>
      </c>
      <c r="F11" s="472">
        <f t="shared" si="0"/>
        <v>-858.71999999997206</v>
      </c>
      <c r="G11" s="473" t="s">
        <v>703</v>
      </c>
      <c r="H11" s="472" t="str">
        <f t="shared" si="1"/>
        <v>----</v>
      </c>
      <c r="I11" s="486" t="s">
        <v>703</v>
      </c>
      <c r="J11" s="83" t="str">
        <f t="shared" si="2"/>
        <v>----</v>
      </c>
    </row>
    <row r="12" spans="1:11">
      <c r="A12" s="102"/>
      <c r="B12" s="103"/>
      <c r="C12" s="87"/>
      <c r="D12" s="466"/>
      <c r="E12" s="473"/>
      <c r="F12" s="472" t="str">
        <f t="shared" si="0"/>
        <v>----</v>
      </c>
      <c r="G12" s="473"/>
      <c r="H12" s="472" t="str">
        <f t="shared" si="1"/>
        <v>----</v>
      </c>
      <c r="I12" s="486"/>
      <c r="J12" s="83" t="str">
        <f t="shared" si="2"/>
        <v>----</v>
      </c>
    </row>
    <row r="13" spans="1:11">
      <c r="A13" s="102"/>
      <c r="B13" s="103"/>
      <c r="C13" s="87"/>
      <c r="D13" s="466"/>
      <c r="E13" s="473"/>
      <c r="F13" s="472" t="str">
        <f t="shared" si="0"/>
        <v>----</v>
      </c>
      <c r="G13" s="473"/>
      <c r="H13" s="472" t="str">
        <f t="shared" si="1"/>
        <v>----</v>
      </c>
      <c r="I13" s="486"/>
      <c r="J13" s="83" t="str">
        <f t="shared" si="2"/>
        <v>----</v>
      </c>
    </row>
    <row r="14" spans="1:11">
      <c r="A14" s="102"/>
      <c r="B14" s="103"/>
      <c r="C14" s="87"/>
      <c r="D14" s="466"/>
      <c r="E14" s="473"/>
      <c r="F14" s="472" t="str">
        <f t="shared" si="0"/>
        <v>----</v>
      </c>
      <c r="G14" s="473"/>
      <c r="H14" s="472" t="str">
        <f t="shared" si="1"/>
        <v>----</v>
      </c>
      <c r="I14" s="486"/>
      <c r="J14" s="83" t="str">
        <f t="shared" si="2"/>
        <v>----</v>
      </c>
    </row>
    <row r="15" spans="1:11">
      <c r="A15" s="102"/>
      <c r="B15" s="103"/>
      <c r="C15" s="87"/>
      <c r="D15" s="466"/>
      <c r="E15" s="473"/>
      <c r="F15" s="472" t="str">
        <f t="shared" si="0"/>
        <v>----</v>
      </c>
      <c r="G15" s="473"/>
      <c r="H15" s="472" t="str">
        <f t="shared" si="1"/>
        <v>----</v>
      </c>
      <c r="I15" s="486"/>
      <c r="J15" s="83" t="str">
        <f t="shared" si="2"/>
        <v>----</v>
      </c>
    </row>
    <row r="16" spans="1:11">
      <c r="A16" s="102"/>
      <c r="B16" s="103"/>
      <c r="C16" s="87"/>
      <c r="D16" s="466"/>
      <c r="E16" s="473"/>
      <c r="F16" s="472" t="str">
        <f t="shared" si="0"/>
        <v>----</v>
      </c>
      <c r="G16" s="473"/>
      <c r="H16" s="472" t="str">
        <f t="shared" si="1"/>
        <v>----</v>
      </c>
      <c r="I16" s="486"/>
      <c r="J16" s="83" t="str">
        <f t="shared" si="2"/>
        <v>----</v>
      </c>
    </row>
    <row r="17" spans="1:10">
      <c r="A17" s="102"/>
      <c r="B17" s="103"/>
      <c r="C17" s="87"/>
      <c r="D17" s="466"/>
      <c r="E17" s="473"/>
      <c r="F17" s="472" t="str">
        <f t="shared" si="0"/>
        <v>----</v>
      </c>
      <c r="G17" s="473"/>
      <c r="H17" s="472" t="str">
        <f t="shared" si="1"/>
        <v>----</v>
      </c>
      <c r="I17" s="486"/>
      <c r="J17" s="83" t="str">
        <f t="shared" si="2"/>
        <v>----</v>
      </c>
    </row>
    <row r="18" spans="1:10">
      <c r="A18" s="116"/>
      <c r="B18" s="117"/>
      <c r="C18" s="118"/>
      <c r="D18" s="467"/>
      <c r="E18" s="474"/>
      <c r="F18" s="472" t="str">
        <f t="shared" si="0"/>
        <v>----</v>
      </c>
      <c r="G18" s="474"/>
      <c r="H18" s="472" t="str">
        <f t="shared" si="1"/>
        <v>----</v>
      </c>
      <c r="I18" s="488"/>
      <c r="J18" s="83" t="str">
        <f t="shared" si="2"/>
        <v>----</v>
      </c>
    </row>
    <row r="19" spans="1:10" ht="15.75" thickBot="1">
      <c r="A19" s="74"/>
      <c r="B19" s="75"/>
      <c r="C19" s="76"/>
      <c r="D19" s="430"/>
      <c r="E19" s="475"/>
      <c r="F19" s="476" t="str">
        <f t="shared" si="0"/>
        <v>----</v>
      </c>
      <c r="G19" s="475"/>
      <c r="H19" s="476" t="str">
        <f t="shared" si="1"/>
        <v>----</v>
      </c>
      <c r="I19" s="481"/>
      <c r="J19" s="77" t="str">
        <f t="shared" si="2"/>
        <v>----</v>
      </c>
    </row>
    <row r="20" spans="1:10" ht="15.75" thickBot="1">
      <c r="A20" s="27"/>
      <c r="B20" s="27"/>
      <c r="C20" s="28"/>
      <c r="D20" s="28"/>
      <c r="E20" s="439"/>
      <c r="F20" s="441">
        <f>SUM(F4:F19)</f>
        <v>20392.270000000019</v>
      </c>
      <c r="G20" s="439"/>
      <c r="H20" s="441">
        <f>SUM(H4:H19)</f>
        <v>0</v>
      </c>
      <c r="I20" s="28"/>
      <c r="J20" s="69">
        <f>SUM(J4:J19)</f>
        <v>0</v>
      </c>
    </row>
  </sheetData>
  <mergeCells count="9">
    <mergeCell ref="A1:J1"/>
    <mergeCell ref="A9:A10"/>
    <mergeCell ref="E2:F2"/>
    <mergeCell ref="I2:J2"/>
    <mergeCell ref="A2:A3"/>
    <mergeCell ref="B2:B3"/>
    <mergeCell ref="C2:C3"/>
    <mergeCell ref="D2:D3"/>
    <mergeCell ref="G2:H2"/>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37D9-17BE-403F-901E-BFAD83D67487}">
  <dimension ref="A1:J26"/>
  <sheetViews>
    <sheetView workbookViewId="0">
      <selection activeCell="C8" sqref="C8"/>
    </sheetView>
  </sheetViews>
  <sheetFormatPr defaultRowHeight="15"/>
  <cols>
    <col min="2" max="2" width="20.5703125" bestFit="1" customWidth="1"/>
    <col min="3" max="3" width="10.7109375" bestFit="1" customWidth="1"/>
    <col min="4" max="4" width="13" customWidth="1"/>
    <col min="5" max="5" width="10.7109375" style="432" bestFit="1" customWidth="1"/>
    <col min="6" max="6" width="14.85546875" style="432" customWidth="1"/>
    <col min="7" max="7" width="10.7109375" style="432" bestFit="1" customWidth="1"/>
    <col min="8" max="8" width="14.85546875" style="432" customWidth="1"/>
    <col min="9" max="9" width="10.7109375" bestFit="1" customWidth="1"/>
    <col min="10" max="10" width="14.85546875" customWidth="1"/>
  </cols>
  <sheetData>
    <row r="1" spans="1:10" ht="15.75" thickBot="1">
      <c r="A1" s="952" t="s">
        <v>235</v>
      </c>
      <c r="B1" s="953"/>
      <c r="C1" s="953"/>
      <c r="D1" s="953"/>
      <c r="E1" s="953"/>
      <c r="F1" s="953"/>
      <c r="G1" s="953"/>
      <c r="H1" s="953"/>
      <c r="I1" s="953"/>
      <c r="J1" s="954"/>
    </row>
    <row r="2" spans="1:10" s="432" customFormat="1">
      <c r="A2" s="959" t="s">
        <v>110</v>
      </c>
      <c r="B2" s="961" t="s">
        <v>111</v>
      </c>
      <c r="C2" s="961" t="s">
        <v>112</v>
      </c>
      <c r="D2" s="973" t="s">
        <v>120</v>
      </c>
      <c r="E2" s="957" t="s">
        <v>701</v>
      </c>
      <c r="F2" s="958"/>
      <c r="G2" s="957" t="s">
        <v>702</v>
      </c>
      <c r="H2" s="958"/>
      <c r="I2" s="932" t="s">
        <v>796</v>
      </c>
      <c r="J2" s="933"/>
    </row>
    <row r="3" spans="1:10" ht="46.5" thickBot="1">
      <c r="A3" s="960"/>
      <c r="B3" s="962"/>
      <c r="C3" s="962"/>
      <c r="D3" s="974"/>
      <c r="E3" s="460" t="s">
        <v>121</v>
      </c>
      <c r="F3" s="468" t="s">
        <v>113</v>
      </c>
      <c r="G3" s="460" t="s">
        <v>121</v>
      </c>
      <c r="H3" s="468" t="s">
        <v>113</v>
      </c>
      <c r="I3" s="478" t="s">
        <v>121</v>
      </c>
      <c r="J3" s="25" t="s">
        <v>113</v>
      </c>
    </row>
    <row r="4" spans="1:10">
      <c r="A4" s="70">
        <v>43942</v>
      </c>
      <c r="B4" s="71" t="s">
        <v>236</v>
      </c>
      <c r="C4" s="72">
        <v>259260</v>
      </c>
      <c r="D4" s="429">
        <f>C4</f>
        <v>259260</v>
      </c>
      <c r="E4" s="469"/>
      <c r="F4" s="470" t="str">
        <f t="shared" ref="F4:F25" si="0">IF(ISBLANK(E4),"----",E4-D4)</f>
        <v>----</v>
      </c>
      <c r="G4" s="469"/>
      <c r="H4" s="470" t="str">
        <f t="shared" ref="H4:H25" si="1">IF(OR(G4="Complete",ISBLANK(G4)),"----",G4-$D4)</f>
        <v>----</v>
      </c>
      <c r="I4" s="479"/>
      <c r="J4" s="73" t="str">
        <f t="shared" ref="J4:J25" si="2">IF(OR(I4="Complete",ISBLANK(I4)),"----",I4-$D4)</f>
        <v>----</v>
      </c>
    </row>
    <row r="5" spans="1:10">
      <c r="A5" s="88">
        <v>44516</v>
      </c>
      <c r="B5" s="117" t="s">
        <v>473</v>
      </c>
      <c r="C5" s="82">
        <v>187276.5</v>
      </c>
      <c r="D5" s="431">
        <f>C5</f>
        <v>187276.5</v>
      </c>
      <c r="E5" s="471">
        <v>183140.66</v>
      </c>
      <c r="F5" s="472">
        <f t="shared" si="0"/>
        <v>-4135.8399999999965</v>
      </c>
      <c r="G5" s="471" t="s">
        <v>703</v>
      </c>
      <c r="H5" s="472" t="str">
        <f t="shared" si="1"/>
        <v>----</v>
      </c>
      <c r="I5" s="484" t="s">
        <v>703</v>
      </c>
      <c r="J5" s="83" t="str">
        <f t="shared" si="2"/>
        <v>----</v>
      </c>
    </row>
    <row r="6" spans="1:10">
      <c r="A6" s="102">
        <v>45097</v>
      </c>
      <c r="B6" s="103" t="s">
        <v>654</v>
      </c>
      <c r="C6" s="87">
        <v>461199</v>
      </c>
      <c r="D6" s="466">
        <f>C6</f>
        <v>461199</v>
      </c>
      <c r="E6" s="473"/>
      <c r="F6" s="485" t="str">
        <f t="shared" si="0"/>
        <v>----</v>
      </c>
      <c r="G6" s="473"/>
      <c r="H6" s="485" t="str">
        <f t="shared" si="1"/>
        <v>----</v>
      </c>
      <c r="I6" s="486">
        <v>458187.29</v>
      </c>
      <c r="J6" s="115">
        <f t="shared" si="2"/>
        <v>-3011.710000000021</v>
      </c>
    </row>
    <row r="7" spans="1:10">
      <c r="A7" s="102">
        <v>45308</v>
      </c>
      <c r="B7" s="103" t="s">
        <v>711</v>
      </c>
      <c r="C7" s="87">
        <v>170847</v>
      </c>
      <c r="D7" s="466">
        <f>C7</f>
        <v>170847</v>
      </c>
      <c r="E7" s="473"/>
      <c r="F7" s="485" t="str">
        <f t="shared" si="0"/>
        <v>----</v>
      </c>
      <c r="G7" s="473"/>
      <c r="H7" s="485" t="str">
        <f t="shared" si="1"/>
        <v>----</v>
      </c>
      <c r="I7" s="486"/>
      <c r="J7" s="115" t="str">
        <f t="shared" si="2"/>
        <v>----</v>
      </c>
    </row>
    <row r="8" spans="1:10">
      <c r="A8" s="102">
        <v>45370</v>
      </c>
      <c r="B8" s="103" t="s">
        <v>730</v>
      </c>
      <c r="C8" s="87">
        <v>176952.5</v>
      </c>
      <c r="D8" s="466">
        <f>C8</f>
        <v>176952.5</v>
      </c>
      <c r="E8" s="473"/>
      <c r="F8" s="485" t="str">
        <f t="shared" si="0"/>
        <v>----</v>
      </c>
      <c r="G8" s="473"/>
      <c r="H8" s="485" t="str">
        <f t="shared" si="1"/>
        <v>----</v>
      </c>
      <c r="I8" s="486"/>
      <c r="J8" s="115" t="str">
        <f t="shared" si="2"/>
        <v>----</v>
      </c>
    </row>
    <row r="9" spans="1:10">
      <c r="A9" s="102"/>
      <c r="B9" s="103"/>
      <c r="C9" s="87"/>
      <c r="D9" s="466"/>
      <c r="E9" s="473"/>
      <c r="F9" s="485" t="str">
        <f t="shared" si="0"/>
        <v>----</v>
      </c>
      <c r="G9" s="473"/>
      <c r="H9" s="485" t="str">
        <f t="shared" si="1"/>
        <v>----</v>
      </c>
      <c r="I9" s="486"/>
      <c r="J9" s="115" t="str">
        <f t="shared" si="2"/>
        <v>----</v>
      </c>
    </row>
    <row r="10" spans="1:10">
      <c r="A10" s="102"/>
      <c r="B10" s="103"/>
      <c r="C10" s="87"/>
      <c r="D10" s="466"/>
      <c r="E10" s="473"/>
      <c r="F10" s="485" t="str">
        <f t="shared" si="0"/>
        <v>----</v>
      </c>
      <c r="G10" s="473"/>
      <c r="H10" s="485" t="str">
        <f t="shared" si="1"/>
        <v>----</v>
      </c>
      <c r="I10" s="486"/>
      <c r="J10" s="115" t="str">
        <f t="shared" si="2"/>
        <v>----</v>
      </c>
    </row>
    <row r="11" spans="1:10">
      <c r="A11" s="102"/>
      <c r="B11" s="103"/>
      <c r="C11" s="87"/>
      <c r="D11" s="466"/>
      <c r="E11" s="473"/>
      <c r="F11" s="485" t="str">
        <f t="shared" si="0"/>
        <v>----</v>
      </c>
      <c r="G11" s="473"/>
      <c r="H11" s="485" t="str">
        <f t="shared" si="1"/>
        <v>----</v>
      </c>
      <c r="I11" s="486"/>
      <c r="J11" s="115" t="str">
        <f t="shared" si="2"/>
        <v>----</v>
      </c>
    </row>
    <row r="12" spans="1:10">
      <c r="A12" s="102"/>
      <c r="B12" s="103"/>
      <c r="C12" s="87"/>
      <c r="D12" s="466"/>
      <c r="E12" s="473"/>
      <c r="F12" s="485" t="str">
        <f t="shared" si="0"/>
        <v>----</v>
      </c>
      <c r="G12" s="473"/>
      <c r="H12" s="485" t="str">
        <f t="shared" si="1"/>
        <v>----</v>
      </c>
      <c r="I12" s="486"/>
      <c r="J12" s="115" t="str">
        <f t="shared" si="2"/>
        <v>----</v>
      </c>
    </row>
    <row r="13" spans="1:10">
      <c r="A13" s="102"/>
      <c r="B13" s="103"/>
      <c r="C13" s="87"/>
      <c r="D13" s="466"/>
      <c r="E13" s="473"/>
      <c r="F13" s="485" t="str">
        <f t="shared" si="0"/>
        <v>----</v>
      </c>
      <c r="G13" s="473"/>
      <c r="H13" s="485" t="str">
        <f t="shared" si="1"/>
        <v>----</v>
      </c>
      <c r="I13" s="486"/>
      <c r="J13" s="115" t="str">
        <f t="shared" si="2"/>
        <v>----</v>
      </c>
    </row>
    <row r="14" spans="1:10">
      <c r="A14" s="102"/>
      <c r="B14" s="103"/>
      <c r="C14" s="87"/>
      <c r="D14" s="466"/>
      <c r="E14" s="473"/>
      <c r="F14" s="485" t="str">
        <f t="shared" si="0"/>
        <v>----</v>
      </c>
      <c r="G14" s="473"/>
      <c r="H14" s="485" t="str">
        <f t="shared" si="1"/>
        <v>----</v>
      </c>
      <c r="I14" s="486"/>
      <c r="J14" s="115" t="str">
        <f t="shared" si="2"/>
        <v>----</v>
      </c>
    </row>
    <row r="15" spans="1:10">
      <c r="A15" s="102"/>
      <c r="B15" s="103"/>
      <c r="C15" s="87"/>
      <c r="D15" s="466"/>
      <c r="E15" s="473"/>
      <c r="F15" s="485" t="str">
        <f t="shared" si="0"/>
        <v>----</v>
      </c>
      <c r="G15" s="473"/>
      <c r="H15" s="485" t="str">
        <f t="shared" si="1"/>
        <v>----</v>
      </c>
      <c r="I15" s="486"/>
      <c r="J15" s="115" t="str">
        <f t="shared" si="2"/>
        <v>----</v>
      </c>
    </row>
    <row r="16" spans="1:10">
      <c r="A16" s="102"/>
      <c r="B16" s="103"/>
      <c r="C16" s="87"/>
      <c r="D16" s="466"/>
      <c r="E16" s="473"/>
      <c r="F16" s="485" t="str">
        <f t="shared" si="0"/>
        <v>----</v>
      </c>
      <c r="G16" s="473"/>
      <c r="H16" s="485" t="str">
        <f t="shared" si="1"/>
        <v>----</v>
      </c>
      <c r="I16" s="486"/>
      <c r="J16" s="115" t="str">
        <f t="shared" si="2"/>
        <v>----</v>
      </c>
    </row>
    <row r="17" spans="1:10">
      <c r="A17" s="102"/>
      <c r="B17" s="103"/>
      <c r="C17" s="87"/>
      <c r="D17" s="466"/>
      <c r="E17" s="473"/>
      <c r="F17" s="485" t="str">
        <f t="shared" si="0"/>
        <v>----</v>
      </c>
      <c r="G17" s="473"/>
      <c r="H17" s="485" t="str">
        <f t="shared" si="1"/>
        <v>----</v>
      </c>
      <c r="I17" s="486"/>
      <c r="J17" s="115" t="str">
        <f t="shared" si="2"/>
        <v>----</v>
      </c>
    </row>
    <row r="18" spans="1:10">
      <c r="A18" s="102"/>
      <c r="B18" s="103"/>
      <c r="C18" s="87"/>
      <c r="D18" s="466"/>
      <c r="E18" s="473"/>
      <c r="F18" s="485" t="str">
        <f t="shared" si="0"/>
        <v>----</v>
      </c>
      <c r="G18" s="473"/>
      <c r="H18" s="485" t="str">
        <f t="shared" si="1"/>
        <v>----</v>
      </c>
      <c r="I18" s="486"/>
      <c r="J18" s="115" t="str">
        <f t="shared" si="2"/>
        <v>----</v>
      </c>
    </row>
    <row r="19" spans="1:10">
      <c r="A19" s="102"/>
      <c r="B19" s="103"/>
      <c r="C19" s="87"/>
      <c r="D19" s="466"/>
      <c r="E19" s="473"/>
      <c r="F19" s="485" t="str">
        <f t="shared" si="0"/>
        <v>----</v>
      </c>
      <c r="G19" s="473"/>
      <c r="H19" s="485" t="str">
        <f t="shared" si="1"/>
        <v>----</v>
      </c>
      <c r="I19" s="486"/>
      <c r="J19" s="115" t="str">
        <f t="shared" si="2"/>
        <v>----</v>
      </c>
    </row>
    <row r="20" spans="1:10">
      <c r="A20" s="102"/>
      <c r="B20" s="103"/>
      <c r="C20" s="87"/>
      <c r="D20" s="466"/>
      <c r="E20" s="473"/>
      <c r="F20" s="485" t="str">
        <f t="shared" si="0"/>
        <v>----</v>
      </c>
      <c r="G20" s="473"/>
      <c r="H20" s="485" t="str">
        <f t="shared" si="1"/>
        <v>----</v>
      </c>
      <c r="I20" s="486"/>
      <c r="J20" s="115" t="str">
        <f t="shared" si="2"/>
        <v>----</v>
      </c>
    </row>
    <row r="21" spans="1:10">
      <c r="A21" s="102"/>
      <c r="B21" s="103"/>
      <c r="C21" s="87"/>
      <c r="D21" s="466"/>
      <c r="E21" s="473"/>
      <c r="F21" s="485" t="str">
        <f t="shared" si="0"/>
        <v>----</v>
      </c>
      <c r="G21" s="473"/>
      <c r="H21" s="485" t="str">
        <f t="shared" si="1"/>
        <v>----</v>
      </c>
      <c r="I21" s="486"/>
      <c r="J21" s="115" t="str">
        <f t="shared" si="2"/>
        <v>----</v>
      </c>
    </row>
    <row r="22" spans="1:10">
      <c r="A22" s="102"/>
      <c r="B22" s="103"/>
      <c r="C22" s="87"/>
      <c r="D22" s="466"/>
      <c r="E22" s="473"/>
      <c r="F22" s="485" t="str">
        <f t="shared" si="0"/>
        <v>----</v>
      </c>
      <c r="G22" s="473"/>
      <c r="H22" s="485" t="str">
        <f t="shared" si="1"/>
        <v>----</v>
      </c>
      <c r="I22" s="486"/>
      <c r="J22" s="115" t="str">
        <f t="shared" si="2"/>
        <v>----</v>
      </c>
    </row>
    <row r="23" spans="1:10">
      <c r="A23" s="102"/>
      <c r="B23" s="103"/>
      <c r="C23" s="87"/>
      <c r="D23" s="466"/>
      <c r="E23" s="473"/>
      <c r="F23" s="485" t="str">
        <f t="shared" si="0"/>
        <v>----</v>
      </c>
      <c r="G23" s="473"/>
      <c r="H23" s="485" t="str">
        <f t="shared" si="1"/>
        <v>----</v>
      </c>
      <c r="I23" s="486"/>
      <c r="J23" s="115" t="str">
        <f t="shared" si="2"/>
        <v>----</v>
      </c>
    </row>
    <row r="24" spans="1:10">
      <c r="A24" s="116"/>
      <c r="B24" s="117"/>
      <c r="C24" s="118"/>
      <c r="D24" s="467"/>
      <c r="E24" s="474"/>
      <c r="F24" s="487" t="str">
        <f t="shared" si="0"/>
        <v>----</v>
      </c>
      <c r="G24" s="474"/>
      <c r="H24" s="487" t="str">
        <f t="shared" si="1"/>
        <v>----</v>
      </c>
      <c r="I24" s="488"/>
      <c r="J24" s="119" t="str">
        <f t="shared" si="2"/>
        <v>----</v>
      </c>
    </row>
    <row r="25" spans="1:10" ht="15.75" thickBot="1">
      <c r="A25" s="74"/>
      <c r="B25" s="75"/>
      <c r="C25" s="76"/>
      <c r="D25" s="430"/>
      <c r="E25" s="475"/>
      <c r="F25" s="476" t="str">
        <f t="shared" si="0"/>
        <v>----</v>
      </c>
      <c r="G25" s="475"/>
      <c r="H25" s="476" t="str">
        <f t="shared" si="1"/>
        <v>----</v>
      </c>
      <c r="I25" s="481"/>
      <c r="J25" s="77" t="str">
        <f t="shared" si="2"/>
        <v>----</v>
      </c>
    </row>
    <row r="26" spans="1:10" ht="15.75" thickBot="1">
      <c r="A26" s="27"/>
      <c r="B26" s="27"/>
      <c r="C26" s="28"/>
      <c r="D26" s="28"/>
      <c r="E26" s="439"/>
      <c r="F26" s="441">
        <f>SUM(F4:F25)</f>
        <v>-4135.8399999999965</v>
      </c>
      <c r="G26" s="439"/>
      <c r="H26" s="441">
        <f>SUM(H4:H25)</f>
        <v>0</v>
      </c>
      <c r="I26" s="28"/>
      <c r="J26" s="69">
        <f>SUM(J4:J25)</f>
        <v>-3011.710000000021</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E227-094F-4F0F-B252-0E3347E219C2}">
  <dimension ref="A1:K20"/>
  <sheetViews>
    <sheetView workbookViewId="0">
      <selection activeCell="K13" sqref="K13"/>
    </sheetView>
  </sheetViews>
  <sheetFormatPr defaultRowHeight="15"/>
  <cols>
    <col min="2" max="2" width="23.7109375" bestFit="1" customWidth="1"/>
    <col min="3" max="4" width="12" bestFit="1" customWidth="1"/>
    <col min="5" max="5" width="12" style="432" bestFit="1" customWidth="1"/>
    <col min="6" max="6" width="11.28515625" style="432" customWidth="1"/>
    <col min="7" max="7" width="12" style="432" bestFit="1" customWidth="1"/>
    <col min="8" max="8" width="11.28515625" style="432" customWidth="1"/>
    <col min="9" max="9" width="12" bestFit="1" customWidth="1"/>
    <col min="10" max="10" width="11.28515625" customWidth="1"/>
  </cols>
  <sheetData>
    <row r="1" spans="1:11" ht="15.75" thickBot="1">
      <c r="A1" s="952" t="s">
        <v>142</v>
      </c>
      <c r="B1" s="953"/>
      <c r="C1" s="953"/>
      <c r="D1" s="953"/>
      <c r="E1" s="953"/>
      <c r="F1" s="953"/>
      <c r="G1" s="953"/>
      <c r="H1" s="953"/>
      <c r="I1" s="953"/>
      <c r="J1" s="954"/>
    </row>
    <row r="2" spans="1:11" s="432" customFormat="1">
      <c r="A2" s="959" t="s">
        <v>110</v>
      </c>
      <c r="B2" s="961" t="s">
        <v>111</v>
      </c>
      <c r="C2" s="961" t="s">
        <v>112</v>
      </c>
      <c r="D2" s="973" t="s">
        <v>120</v>
      </c>
      <c r="E2" s="957" t="s">
        <v>701</v>
      </c>
      <c r="F2" s="958"/>
      <c r="G2" s="957" t="s">
        <v>702</v>
      </c>
      <c r="H2" s="958"/>
      <c r="I2" s="932" t="s">
        <v>796</v>
      </c>
      <c r="J2" s="933"/>
    </row>
    <row r="3" spans="1:11" ht="57.75" thickBot="1">
      <c r="A3" s="960"/>
      <c r="B3" s="962"/>
      <c r="C3" s="962"/>
      <c r="D3" s="974"/>
      <c r="E3" s="460" t="s">
        <v>121</v>
      </c>
      <c r="F3" s="468" t="s">
        <v>113</v>
      </c>
      <c r="G3" s="460" t="s">
        <v>121</v>
      </c>
      <c r="H3" s="468" t="s">
        <v>113</v>
      </c>
      <c r="I3" s="478" t="s">
        <v>121</v>
      </c>
      <c r="J3" s="25" t="s">
        <v>113</v>
      </c>
    </row>
    <row r="4" spans="1:11">
      <c r="A4" s="70">
        <v>43788</v>
      </c>
      <c r="B4" s="71" t="s">
        <v>143</v>
      </c>
      <c r="C4" s="781">
        <v>328326.3</v>
      </c>
      <c r="D4" s="787">
        <v>262661.03999999998</v>
      </c>
      <c r="E4" s="794"/>
      <c r="F4" s="803" t="str">
        <f t="shared" ref="F4:F19" si="0">IF(ISBLANK(E4),"----",E4-D4)</f>
        <v>----</v>
      </c>
      <c r="G4" s="794"/>
      <c r="H4" s="803" t="str">
        <f t="shared" ref="H4:H19" si="1">IF(OR(G4="Complete",ISBLANK(G4)),"----",G4-$D4)</f>
        <v>----</v>
      </c>
      <c r="I4" s="791"/>
      <c r="J4" s="804" t="str">
        <f t="shared" ref="J4:J19" si="2">IF(OR(I4="Complete",ISBLANK(I4)),"----",I4-$D4)</f>
        <v>----</v>
      </c>
    </row>
    <row r="5" spans="1:11">
      <c r="A5" s="127">
        <v>43852</v>
      </c>
      <c r="B5" s="128" t="s">
        <v>487</v>
      </c>
      <c r="C5" s="750">
        <v>1256405</v>
      </c>
      <c r="D5" s="751">
        <f>C5</f>
        <v>1256405</v>
      </c>
      <c r="E5" s="752">
        <v>1301422.8500000001</v>
      </c>
      <c r="F5" s="753">
        <f t="shared" si="0"/>
        <v>45017.850000000093</v>
      </c>
      <c r="G5" s="752" t="s">
        <v>703</v>
      </c>
      <c r="H5" s="753" t="str">
        <f t="shared" si="1"/>
        <v>----</v>
      </c>
      <c r="I5" s="754" t="s">
        <v>703</v>
      </c>
      <c r="J5" s="755" t="str">
        <f t="shared" si="2"/>
        <v>----</v>
      </c>
    </row>
    <row r="6" spans="1:11">
      <c r="A6" s="120">
        <v>44271</v>
      </c>
      <c r="B6" s="121" t="s">
        <v>412</v>
      </c>
      <c r="C6" s="725">
        <v>994507.7</v>
      </c>
      <c r="D6" s="742">
        <f>C6</f>
        <v>994507.7</v>
      </c>
      <c r="E6" s="756">
        <v>992265.24</v>
      </c>
      <c r="F6" s="753">
        <f t="shared" si="0"/>
        <v>-2242.4599999999627</v>
      </c>
      <c r="G6" s="756" t="s">
        <v>703</v>
      </c>
      <c r="H6" s="753" t="str">
        <f t="shared" si="1"/>
        <v>----</v>
      </c>
      <c r="I6" s="757" t="s">
        <v>703</v>
      </c>
      <c r="J6" s="755" t="str">
        <f t="shared" si="2"/>
        <v>----</v>
      </c>
    </row>
    <row r="7" spans="1:11">
      <c r="A7" s="120">
        <v>44551</v>
      </c>
      <c r="B7" s="261" t="s">
        <v>485</v>
      </c>
      <c r="C7" s="725">
        <v>2704940.95</v>
      </c>
      <c r="D7" s="742">
        <v>722742.69</v>
      </c>
      <c r="E7" s="756">
        <v>633219.99</v>
      </c>
      <c r="F7" s="753">
        <f t="shared" si="0"/>
        <v>-89522.699999999953</v>
      </c>
      <c r="G7" s="756" t="s">
        <v>703</v>
      </c>
      <c r="H7" s="753" t="str">
        <f t="shared" si="1"/>
        <v>----</v>
      </c>
      <c r="I7" s="757" t="s">
        <v>703</v>
      </c>
      <c r="J7" s="755" t="str">
        <f t="shared" si="2"/>
        <v>----</v>
      </c>
      <c r="K7" t="s">
        <v>486</v>
      </c>
    </row>
    <row r="8" spans="1:11">
      <c r="A8" s="120">
        <v>44915</v>
      </c>
      <c r="B8" s="121" t="s">
        <v>619</v>
      </c>
      <c r="C8" s="725">
        <v>202838</v>
      </c>
      <c r="D8" s="742">
        <f>C8</f>
        <v>202838</v>
      </c>
      <c r="E8" s="756"/>
      <c r="F8" s="753" t="str">
        <f t="shared" si="0"/>
        <v>----</v>
      </c>
      <c r="G8" s="756">
        <v>195232.56</v>
      </c>
      <c r="H8" s="753">
        <f t="shared" si="1"/>
        <v>-7605.4400000000023</v>
      </c>
      <c r="I8" s="757" t="s">
        <v>703</v>
      </c>
      <c r="J8" s="755" t="str">
        <f t="shared" si="2"/>
        <v>----</v>
      </c>
    </row>
    <row r="9" spans="1:11">
      <c r="A9" s="120">
        <v>44915</v>
      </c>
      <c r="B9" s="121" t="s">
        <v>620</v>
      </c>
      <c r="C9" s="725">
        <v>190736.15</v>
      </c>
      <c r="D9" s="742">
        <f>C9</f>
        <v>190736.15</v>
      </c>
      <c r="E9" s="756"/>
      <c r="F9" s="753" t="str">
        <f t="shared" si="0"/>
        <v>----</v>
      </c>
      <c r="G9" s="756">
        <v>192162.12</v>
      </c>
      <c r="H9" s="753">
        <f t="shared" si="1"/>
        <v>1425.9700000000012</v>
      </c>
      <c r="I9" s="757" t="s">
        <v>703</v>
      </c>
      <c r="J9" s="755" t="str">
        <f t="shared" si="2"/>
        <v>----</v>
      </c>
    </row>
    <row r="10" spans="1:11">
      <c r="A10" s="120">
        <v>44915</v>
      </c>
      <c r="B10" s="121" t="s">
        <v>621</v>
      </c>
      <c r="C10" s="725">
        <v>303923.34999999998</v>
      </c>
      <c r="D10" s="742">
        <f>C10</f>
        <v>303923.34999999998</v>
      </c>
      <c r="E10" s="756"/>
      <c r="F10" s="753" t="str">
        <f t="shared" si="0"/>
        <v>----</v>
      </c>
      <c r="G10" s="756">
        <v>307043.15000000002</v>
      </c>
      <c r="H10" s="753">
        <f t="shared" si="1"/>
        <v>3119.8000000000466</v>
      </c>
      <c r="I10" s="757" t="s">
        <v>703</v>
      </c>
      <c r="J10" s="755" t="str">
        <f t="shared" si="2"/>
        <v>----</v>
      </c>
    </row>
    <row r="11" spans="1:11">
      <c r="A11" s="120">
        <v>45398</v>
      </c>
      <c r="B11" s="121" t="s">
        <v>743</v>
      </c>
      <c r="C11" s="725">
        <v>711589.89</v>
      </c>
      <c r="D11" s="742">
        <f>C11</f>
        <v>711589.89</v>
      </c>
      <c r="E11" s="756"/>
      <c r="F11" s="753" t="str">
        <f t="shared" si="0"/>
        <v>----</v>
      </c>
      <c r="G11" s="756"/>
      <c r="H11" s="753" t="str">
        <f t="shared" si="1"/>
        <v>----</v>
      </c>
      <c r="I11" s="757"/>
      <c r="J11" s="755" t="str">
        <f t="shared" si="2"/>
        <v>----</v>
      </c>
    </row>
    <row r="12" spans="1:11">
      <c r="A12" s="831">
        <v>45734</v>
      </c>
      <c r="B12" s="832" t="s">
        <v>861</v>
      </c>
      <c r="C12" s="833">
        <v>451974.8</v>
      </c>
      <c r="D12" s="834">
        <v>0</v>
      </c>
      <c r="E12" s="835"/>
      <c r="F12" s="836" t="str">
        <f t="shared" si="0"/>
        <v>----</v>
      </c>
      <c r="G12" s="835"/>
      <c r="H12" s="836" t="str">
        <f t="shared" si="1"/>
        <v>----</v>
      </c>
      <c r="I12" s="837"/>
      <c r="J12" s="838" t="str">
        <f t="shared" si="2"/>
        <v>----</v>
      </c>
      <c r="K12" s="839" t="s">
        <v>864</v>
      </c>
    </row>
    <row r="13" spans="1:11">
      <c r="A13" s="120"/>
      <c r="B13" s="121"/>
      <c r="C13" s="725"/>
      <c r="D13" s="742"/>
      <c r="E13" s="756"/>
      <c r="F13" s="753" t="str">
        <f t="shared" si="0"/>
        <v>----</v>
      </c>
      <c r="G13" s="756"/>
      <c r="H13" s="753" t="str">
        <f t="shared" si="1"/>
        <v>----</v>
      </c>
      <c r="I13" s="757"/>
      <c r="J13" s="755" t="str">
        <f t="shared" si="2"/>
        <v>----</v>
      </c>
    </row>
    <row r="14" spans="1:11">
      <c r="A14" s="120"/>
      <c r="B14" s="121"/>
      <c r="C14" s="725"/>
      <c r="D14" s="742"/>
      <c r="E14" s="756"/>
      <c r="F14" s="753" t="str">
        <f t="shared" si="0"/>
        <v>----</v>
      </c>
      <c r="G14" s="756"/>
      <c r="H14" s="753" t="str">
        <f t="shared" si="1"/>
        <v>----</v>
      </c>
      <c r="I14" s="757"/>
      <c r="J14" s="755" t="str">
        <f t="shared" si="2"/>
        <v>----</v>
      </c>
    </row>
    <row r="15" spans="1:11">
      <c r="A15" s="120"/>
      <c r="B15" s="121"/>
      <c r="C15" s="725"/>
      <c r="D15" s="742"/>
      <c r="E15" s="756"/>
      <c r="F15" s="753" t="str">
        <f t="shared" si="0"/>
        <v>----</v>
      </c>
      <c r="G15" s="756"/>
      <c r="H15" s="753" t="str">
        <f t="shared" si="1"/>
        <v>----</v>
      </c>
      <c r="I15" s="757"/>
      <c r="J15" s="755" t="str">
        <f t="shared" si="2"/>
        <v>----</v>
      </c>
    </row>
    <row r="16" spans="1:11">
      <c r="A16" s="120"/>
      <c r="B16" s="121"/>
      <c r="C16" s="725"/>
      <c r="D16" s="742"/>
      <c r="E16" s="756"/>
      <c r="F16" s="753" t="str">
        <f t="shared" si="0"/>
        <v>----</v>
      </c>
      <c r="G16" s="756"/>
      <c r="H16" s="753" t="str">
        <f t="shared" si="1"/>
        <v>----</v>
      </c>
      <c r="I16" s="757"/>
      <c r="J16" s="755" t="str">
        <f t="shared" si="2"/>
        <v>----</v>
      </c>
    </row>
    <row r="17" spans="1:10">
      <c r="A17" s="120"/>
      <c r="B17" s="121"/>
      <c r="C17" s="725"/>
      <c r="D17" s="742"/>
      <c r="E17" s="756"/>
      <c r="F17" s="753" t="str">
        <f t="shared" si="0"/>
        <v>----</v>
      </c>
      <c r="G17" s="756"/>
      <c r="H17" s="753" t="str">
        <f t="shared" si="1"/>
        <v>----</v>
      </c>
      <c r="I17" s="757"/>
      <c r="J17" s="755" t="str">
        <f t="shared" si="2"/>
        <v>----</v>
      </c>
    </row>
    <row r="18" spans="1:10">
      <c r="A18" s="123"/>
      <c r="B18" s="124"/>
      <c r="C18" s="726"/>
      <c r="D18" s="743"/>
      <c r="E18" s="764"/>
      <c r="F18" s="753" t="str">
        <f t="shared" si="0"/>
        <v>----</v>
      </c>
      <c r="G18" s="764"/>
      <c r="H18" s="753" t="str">
        <f t="shared" si="1"/>
        <v>----</v>
      </c>
      <c r="I18" s="765"/>
      <c r="J18" s="755" t="str">
        <f t="shared" si="2"/>
        <v>----</v>
      </c>
    </row>
    <row r="19" spans="1:10" ht="15.75" thickBot="1">
      <c r="A19" s="74"/>
      <c r="B19" s="75"/>
      <c r="C19" s="783"/>
      <c r="D19" s="790"/>
      <c r="E19" s="796"/>
      <c r="F19" s="801" t="str">
        <f t="shared" si="0"/>
        <v>----</v>
      </c>
      <c r="G19" s="796"/>
      <c r="H19" s="801" t="str">
        <f t="shared" si="1"/>
        <v>----</v>
      </c>
      <c r="I19" s="793"/>
      <c r="J19" s="802" t="str">
        <f t="shared" si="2"/>
        <v>----</v>
      </c>
    </row>
    <row r="20" spans="1:10" ht="15.75" thickBot="1">
      <c r="A20" s="27"/>
      <c r="B20" s="27"/>
      <c r="C20" s="814"/>
      <c r="D20" s="814"/>
      <c r="E20" s="814"/>
      <c r="F20" s="815">
        <f>SUM(F4:F19)</f>
        <v>-46747.309999999823</v>
      </c>
      <c r="G20" s="814"/>
      <c r="H20" s="815">
        <f>SUM(H4:H19)</f>
        <v>-3059.6699999999546</v>
      </c>
      <c r="I20" s="814"/>
      <c r="J20" s="815">
        <f>SUM(J4:J19)</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103</vt:i4>
      </vt:variant>
      <vt:variant>
        <vt:lpstr>Named Ranges</vt:lpstr>
      </vt:variant>
      <vt:variant>
        <vt:i4>1</vt:i4>
      </vt:variant>
    </vt:vector>
  </HeadingPairs>
  <TitlesOfParts>
    <vt:vector size="104" baseType="lpstr">
      <vt:lpstr>Worksheet</vt:lpstr>
      <vt:lpstr>Allocations</vt:lpstr>
      <vt:lpstr>Project Final Cost Tracking</vt:lpstr>
      <vt:lpstr>Adair</vt:lpstr>
      <vt:lpstr>Adams</vt:lpstr>
      <vt:lpstr>Allamakee</vt:lpstr>
      <vt:lpstr>Appanoose</vt:lpstr>
      <vt:lpstr>Audubon</vt:lpstr>
      <vt:lpstr>Benton</vt:lpstr>
      <vt:lpstr>Black Hawk</vt:lpstr>
      <vt:lpstr>Boone</vt:lpstr>
      <vt:lpstr>Bremer</vt:lpstr>
      <vt:lpstr>Buchanan</vt:lpstr>
      <vt:lpstr>Buena Vista</vt:lpstr>
      <vt:lpstr>Butler</vt:lpstr>
      <vt:lpstr>Calhoun</vt:lpstr>
      <vt:lpstr>Carroll</vt:lpstr>
      <vt:lpstr>Cass</vt:lpstr>
      <vt:lpstr>Cedar</vt:lpstr>
      <vt:lpstr>Cerro Gordo</vt:lpstr>
      <vt:lpstr>Cherokee</vt:lpstr>
      <vt:lpstr>Chickasaw</vt:lpstr>
      <vt:lpstr>Clarke</vt:lpstr>
      <vt:lpstr>Clay</vt:lpstr>
      <vt:lpstr>Clayton</vt:lpstr>
      <vt:lpstr>Clinton</vt:lpstr>
      <vt:lpstr>Crawford</vt:lpstr>
      <vt:lpstr>Dallas</vt:lpstr>
      <vt:lpstr>Davis</vt:lpstr>
      <vt:lpstr>Decatur</vt:lpstr>
      <vt:lpstr>Delaware</vt:lpstr>
      <vt:lpstr>Des Moines</vt:lpstr>
      <vt:lpstr>Dickinson</vt:lpstr>
      <vt:lpstr>Dubuque</vt:lpstr>
      <vt:lpstr>Emmet</vt:lpstr>
      <vt:lpstr>Fayette</vt:lpstr>
      <vt:lpstr>Floyd</vt:lpstr>
      <vt:lpstr>Franklin</vt:lpstr>
      <vt:lpstr>Fremont</vt:lpstr>
      <vt:lpstr>Greene</vt:lpstr>
      <vt:lpstr>Grundy</vt:lpstr>
      <vt:lpstr>Guthrie</vt:lpstr>
      <vt:lpstr>Hamilton</vt:lpstr>
      <vt:lpstr>Hancock</vt:lpstr>
      <vt:lpstr>Hardin</vt:lpstr>
      <vt:lpstr>Harrison</vt:lpstr>
      <vt:lpstr>Henry</vt:lpstr>
      <vt:lpstr>Howard</vt:lpstr>
      <vt:lpstr>Humboldt</vt:lpstr>
      <vt:lpstr>Ida</vt:lpstr>
      <vt:lpstr>Iowa</vt:lpstr>
      <vt:lpstr>Jackson</vt:lpstr>
      <vt:lpstr>Jasper</vt:lpstr>
      <vt:lpstr>Jefferson</vt:lpstr>
      <vt:lpstr>Johnson</vt:lpstr>
      <vt:lpstr>Jones</vt:lpstr>
      <vt:lpstr>Keokuk</vt:lpstr>
      <vt:lpstr>Kossuth</vt:lpstr>
      <vt:lpstr>Lee</vt:lpstr>
      <vt:lpstr>Linn</vt:lpstr>
      <vt:lpstr>Louisa</vt:lpstr>
      <vt:lpstr>Lucas</vt:lpstr>
      <vt:lpstr>Lyon</vt:lpstr>
      <vt:lpstr>Madison</vt:lpstr>
      <vt:lpstr>Mahaska</vt:lpstr>
      <vt:lpstr>Marion</vt:lpstr>
      <vt:lpstr>Marshall</vt:lpstr>
      <vt:lpstr>Mills</vt:lpstr>
      <vt:lpstr>Mitchell</vt:lpstr>
      <vt:lpstr>Monona</vt:lpstr>
      <vt:lpstr>Monroe</vt:lpstr>
      <vt:lpstr>Montgomery</vt:lpstr>
      <vt:lpstr>Muscatine</vt:lpstr>
      <vt:lpstr>O'Brien</vt:lpstr>
      <vt:lpstr>Osceola</vt:lpstr>
      <vt:lpstr>Page</vt:lpstr>
      <vt:lpstr>Palo Alto</vt:lpstr>
      <vt:lpstr>Plymouth</vt:lpstr>
      <vt:lpstr>Pocahontas</vt:lpstr>
      <vt:lpstr>Polk</vt:lpstr>
      <vt:lpstr>Pottawattamie</vt:lpstr>
      <vt:lpstr>Poweshiek</vt:lpstr>
      <vt:lpstr>Ringgold</vt:lpstr>
      <vt:lpstr>Sac</vt:lpstr>
      <vt:lpstr>Scott</vt:lpstr>
      <vt:lpstr>Shelby</vt:lpstr>
      <vt:lpstr>Sioux</vt:lpstr>
      <vt:lpstr>Story</vt:lpstr>
      <vt:lpstr>Tama</vt:lpstr>
      <vt:lpstr>Taylor</vt:lpstr>
      <vt:lpstr>Union</vt:lpstr>
      <vt:lpstr>Van Buren</vt:lpstr>
      <vt:lpstr>Wapello</vt:lpstr>
      <vt:lpstr>Warren</vt:lpstr>
      <vt:lpstr>Washington</vt:lpstr>
      <vt:lpstr>Wayne</vt:lpstr>
      <vt:lpstr>Webster</vt:lpstr>
      <vt:lpstr>Winnebago</vt:lpstr>
      <vt:lpstr>Winneshiek</vt:lpstr>
      <vt:lpstr>Woodbury</vt:lpstr>
      <vt:lpstr>Worth</vt:lpstr>
      <vt:lpstr>Wright</vt:lpstr>
      <vt:lpstr>Notes</vt:lpstr>
      <vt:lpstr>Worksheet!Print_Area</vt:lpstr>
    </vt:vector>
  </TitlesOfParts>
  <Company>Iowa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Buchwald</dc:creator>
  <cp:lastModifiedBy>Stinn, Niki</cp:lastModifiedBy>
  <cp:lastPrinted>2013-11-08T18:31:22Z</cp:lastPrinted>
  <dcterms:created xsi:type="dcterms:W3CDTF">2010-06-08T23:01:27Z</dcterms:created>
  <dcterms:modified xsi:type="dcterms:W3CDTF">2025-10-27T14:31:18Z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aac733-ded1-41e0-8ea6-961193f81247_Enabled">
    <vt:lpwstr>true</vt:lpwstr>
  </property>
  <property fmtid="{D5CDD505-2E9C-101B-9397-08002B2CF9AE}" pid="3" name="MSIP_Label_0faac733-ded1-41e0-8ea6-961193f81247_SetDate">
    <vt:lpwstr>2025-05-23T01:21:21Z</vt:lpwstr>
  </property>
  <property fmtid="{D5CDD505-2E9C-101B-9397-08002B2CF9AE}" pid="4" name="MSIP_Label_0faac733-ded1-41e0-8ea6-961193f81247_Method">
    <vt:lpwstr>Standard</vt:lpwstr>
  </property>
  <property fmtid="{D5CDD505-2E9C-101B-9397-08002B2CF9AE}" pid="5" name="MSIP_Label_0faac733-ded1-41e0-8ea6-961193f81247_Name">
    <vt:lpwstr>defa4170-0d19-0005-0004-bc88714345d2</vt:lpwstr>
  </property>
  <property fmtid="{D5CDD505-2E9C-101B-9397-08002B2CF9AE}" pid="6" name="MSIP_Label_0faac733-ded1-41e0-8ea6-961193f81247_SiteId">
    <vt:lpwstr>a1e65fcc-32fa-4fdd-8692-0cc2eb06676e</vt:lpwstr>
  </property>
  <property fmtid="{D5CDD505-2E9C-101B-9397-08002B2CF9AE}" pid="7" name="MSIP_Label_0faac733-ded1-41e0-8ea6-961193f81247_ActionId">
    <vt:lpwstr>c28f11c4-e1f7-4325-a43a-9f6ecaeb69e5</vt:lpwstr>
  </property>
  <property fmtid="{D5CDD505-2E9C-101B-9397-08002B2CF9AE}" pid="8" name="MSIP_Label_0faac733-ded1-41e0-8ea6-961193f81247_ContentBits">
    <vt:lpwstr>0</vt:lpwstr>
  </property>
</Properties>
</file>