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9B2B0593-FA4F-42BF-B27E-9F8B6C189F64}" xr6:coauthVersionLast="47" xr6:coauthVersionMax="47" xr10:uidLastSave="{00000000-0000-0000-0000-000000000000}"/>
  <bookViews>
    <workbookView xWindow="3840" yWindow="585" windowWidth="24240" windowHeight="14985"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7" i="104" l="1"/>
  <c r="AY37" i="104"/>
  <c r="AZ31" i="104"/>
  <c r="AY31" i="104"/>
  <c r="AZ24" i="104"/>
  <c r="AY24" i="104"/>
  <c r="D20" i="75"/>
  <c r="D10" i="81"/>
  <c r="D12" i="88"/>
  <c r="I8" i="13"/>
  <c r="I7" i="13"/>
  <c r="I6" i="49"/>
  <c r="D9" i="12"/>
  <c r="D12" i="19"/>
  <c r="D15" i="28"/>
  <c r="D9" i="66"/>
  <c r="D21" i="102"/>
  <c r="D20" i="102"/>
  <c r="AV96" i="104"/>
  <c r="AU96" i="104"/>
  <c r="AV64" i="104"/>
  <c r="AU64" i="104"/>
  <c r="D9" i="17"/>
  <c r="D9" i="49"/>
  <c r="B9" i="4"/>
  <c r="AN18" i="104"/>
  <c r="AM18" i="104"/>
  <c r="J9" i="94"/>
  <c r="H9" i="94"/>
  <c r="F9" i="94"/>
  <c r="C9" i="94"/>
  <c r="D9" i="94" s="1"/>
  <c r="D6" i="71"/>
  <c r="D5" i="71"/>
  <c r="C6" i="71"/>
  <c r="AT83" i="104"/>
  <c r="AS83" i="104"/>
  <c r="AT80" i="104"/>
  <c r="AS80" i="104"/>
  <c r="AT65" i="104"/>
  <c r="AS65" i="104"/>
  <c r="AT19" i="104"/>
  <c r="AS19" i="104"/>
  <c r="D11" i="30"/>
  <c r="D11" i="48"/>
  <c r="D15" i="93"/>
  <c r="I4" i="72"/>
  <c r="I6" i="36"/>
  <c r="I4" i="106"/>
  <c r="I5" i="53"/>
  <c r="AR92" i="104"/>
  <c r="AQ92" i="104"/>
  <c r="AR65" i="104"/>
  <c r="AQ65" i="104"/>
  <c r="AR57" i="104"/>
  <c r="AQ57" i="104"/>
  <c r="AR53" i="104"/>
  <c r="AQ53" i="104"/>
  <c r="AR34" i="104"/>
  <c r="AQ34" i="104"/>
  <c r="D7" i="21"/>
  <c r="D6" i="21"/>
  <c r="D10" i="48"/>
  <c r="D4" i="56"/>
  <c r="F5" i="56"/>
  <c r="H5" i="56"/>
  <c r="J5" i="56"/>
  <c r="F6" i="56"/>
  <c r="H6" i="56"/>
  <c r="J6" i="56"/>
  <c r="F7" i="56"/>
  <c r="H7" i="56"/>
  <c r="J7" i="56"/>
  <c r="F8" i="56"/>
  <c r="H8" i="56"/>
  <c r="J8" i="56"/>
  <c r="F9" i="56"/>
  <c r="H9" i="56"/>
  <c r="J9" i="56"/>
  <c r="F10" i="56"/>
  <c r="H10" i="56"/>
  <c r="J10" i="56"/>
  <c r="F11" i="56"/>
  <c r="H11" i="56"/>
  <c r="J11" i="56"/>
  <c r="F12" i="56"/>
  <c r="H12" i="56"/>
  <c r="J12" i="56"/>
  <c r="F13" i="56"/>
  <c r="H13" i="56"/>
  <c r="J13" i="56"/>
  <c r="F14" i="56"/>
  <c r="H14" i="56"/>
  <c r="J14" i="56"/>
  <c r="D11" i="59"/>
  <c r="D7" i="78"/>
  <c r="D6" i="78"/>
  <c r="AP68" i="104"/>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I6" i="32"/>
  <c r="I7" i="30"/>
  <c r="AN103" i="104"/>
  <c r="AM103" i="104"/>
  <c r="AN101" i="104"/>
  <c r="AM101" i="104"/>
  <c r="AN89" i="104"/>
  <c r="AM89" i="104"/>
  <c r="AN50" i="104"/>
  <c r="AM50" i="104"/>
  <c r="AM41" i="104"/>
  <c r="AN17" i="104"/>
  <c r="AM17" i="104"/>
  <c r="D7" i="11"/>
  <c r="D14" i="13"/>
  <c r="D8" i="24"/>
  <c r="D9" i="62"/>
  <c r="D8" i="62"/>
  <c r="AN41" i="104"/>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18" i="18"/>
  <c r="H17" i="18"/>
  <c r="H16" i="18"/>
  <c r="H15" i="18"/>
  <c r="H14" i="18"/>
  <c r="H13" i="18"/>
  <c r="H12" i="18"/>
  <c r="H11" i="18"/>
  <c r="H10" i="18"/>
  <c r="H9" i="18"/>
  <c r="H8" i="18"/>
  <c r="H7" i="18"/>
  <c r="H5" i="18"/>
  <c r="H4" i="18"/>
  <c r="H18" i="19"/>
  <c r="H17" i="19"/>
  <c r="H16" i="19"/>
  <c r="H15" i="19"/>
  <c r="H14" i="19"/>
  <c r="H13" i="19"/>
  <c r="H12" i="19"/>
  <c r="H11" i="19"/>
  <c r="H10" i="19"/>
  <c r="H9" i="19"/>
  <c r="H8" i="19"/>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17" i="56"/>
  <c r="H16" i="56"/>
  <c r="H15" i="56"/>
  <c r="H4" i="56"/>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N5" i="104"/>
  <c r="O5" i="104"/>
  <c r="AC5" i="104"/>
  <c r="D9" i="101"/>
  <c r="D7" i="24"/>
  <c r="D6" i="100"/>
  <c r="D18" i="102"/>
  <c r="AF10" i="104" s="1"/>
  <c r="J19" i="43"/>
  <c r="J18" i="43"/>
  <c r="J17" i="43"/>
  <c r="J16" i="43"/>
  <c r="J15" i="43"/>
  <c r="J14" i="43"/>
  <c r="J13" i="43"/>
  <c r="J12" i="43"/>
  <c r="J11" i="43"/>
  <c r="J10" i="43"/>
  <c r="J9" i="43"/>
  <c r="J8" i="43"/>
  <c r="J7" i="43"/>
  <c r="J5" i="43"/>
  <c r="J4" i="43"/>
  <c r="H19" i="19" l="1"/>
  <c r="H29" i="17"/>
  <c r="H24" i="49"/>
  <c r="H18" i="71"/>
  <c r="H25" i="33"/>
  <c r="H25" i="21"/>
  <c r="H18" i="56"/>
  <c r="H26" i="1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H22" i="12"/>
  <c r="H15" i="57"/>
  <c r="J18" i="71"/>
  <c r="D8" i="18"/>
  <c r="D8" i="17"/>
  <c r="D6" i="80"/>
  <c r="J6" i="12"/>
  <c r="C4" i="22"/>
  <c r="D4" i="22" s="1"/>
  <c r="C8" i="29"/>
  <c r="D8" i="12"/>
  <c r="D8" i="106"/>
  <c r="D17" i="75"/>
  <c r="D8" i="38"/>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17" i="56"/>
  <c r="J16" i="56"/>
  <c r="J1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17" i="56"/>
  <c r="F16" i="56"/>
  <c r="F15" i="56"/>
  <c r="F4" i="56"/>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18" i="56" l="1"/>
  <c r="F26" i="1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AB101" i="104" l="1"/>
  <c r="AB93" i="104"/>
  <c r="AB85" i="104"/>
  <c r="AB77" i="104"/>
  <c r="AB69" i="104"/>
  <c r="AB61" i="104"/>
  <c r="AB53" i="104"/>
  <c r="AB45" i="104"/>
  <c r="AB37" i="104"/>
  <c r="AB29" i="104"/>
  <c r="AB21" i="104"/>
  <c r="AB13" i="104"/>
  <c r="AB5" i="104"/>
  <c r="I102" i="104"/>
  <c r="I94" i="104"/>
  <c r="I86" i="104"/>
  <c r="I78" i="104"/>
  <c r="I70" i="104"/>
  <c r="I62" i="104"/>
  <c r="I54" i="104"/>
  <c r="I46" i="104"/>
  <c r="I38" i="104"/>
  <c r="I30" i="104"/>
  <c r="I22" i="104"/>
  <c r="I14" i="104"/>
  <c r="I6" i="104"/>
  <c r="AB73" i="104"/>
  <c r="AB49" i="104"/>
  <c r="I98" i="104"/>
  <c r="I66" i="104"/>
  <c r="I34" i="104"/>
  <c r="I80" i="104"/>
  <c r="I24" i="104"/>
  <c r="I95" i="104"/>
  <c r="I47" i="104"/>
  <c r="I7" i="104"/>
  <c r="AB100" i="104"/>
  <c r="AB92" i="104"/>
  <c r="AB84" i="104"/>
  <c r="AB76" i="104"/>
  <c r="AB68" i="104"/>
  <c r="AB60" i="104"/>
  <c r="AB52" i="104"/>
  <c r="AB44" i="104"/>
  <c r="AB36" i="104"/>
  <c r="AB28" i="104"/>
  <c r="AB20" i="104"/>
  <c r="AB12" i="104"/>
  <c r="I101" i="104"/>
  <c r="I93" i="104"/>
  <c r="I85" i="104"/>
  <c r="I77" i="104"/>
  <c r="I69" i="104"/>
  <c r="I61" i="104"/>
  <c r="I53" i="104"/>
  <c r="I45" i="104"/>
  <c r="I37" i="104"/>
  <c r="I29" i="104"/>
  <c r="I21" i="104"/>
  <c r="I13" i="104"/>
  <c r="AB81" i="104"/>
  <c r="AB25" i="104"/>
  <c r="I74" i="104"/>
  <c r="I42" i="104"/>
  <c r="I10" i="104"/>
  <c r="I72" i="104"/>
  <c r="I8" i="104"/>
  <c r="I87" i="104"/>
  <c r="I15" i="104"/>
  <c r="AB99" i="104"/>
  <c r="AB91" i="104"/>
  <c r="AB83" i="104"/>
  <c r="AB75" i="104"/>
  <c r="AB67" i="104"/>
  <c r="AB59" i="104"/>
  <c r="AB51" i="104"/>
  <c r="AB43" i="104"/>
  <c r="AB35" i="104"/>
  <c r="AB27" i="104"/>
  <c r="AB19" i="104"/>
  <c r="AB11" i="104"/>
  <c r="I100" i="104"/>
  <c r="I92" i="104"/>
  <c r="I84" i="104"/>
  <c r="I76" i="104"/>
  <c r="I68" i="104"/>
  <c r="I60" i="104"/>
  <c r="I52" i="104"/>
  <c r="I44" i="104"/>
  <c r="I36" i="104"/>
  <c r="I28" i="104"/>
  <c r="I20" i="104"/>
  <c r="I12" i="104"/>
  <c r="AB97" i="104"/>
  <c r="AB57" i="104"/>
  <c r="AB41" i="104"/>
  <c r="AB17" i="104"/>
  <c r="I90" i="104"/>
  <c r="I58" i="104"/>
  <c r="I18" i="104"/>
  <c r="I88" i="104"/>
  <c r="I48" i="104"/>
  <c r="I16" i="104"/>
  <c r="I103" i="104"/>
  <c r="I63" i="104"/>
  <c r="I39" i="104"/>
  <c r="AB98" i="104"/>
  <c r="AB90" i="104"/>
  <c r="AB82" i="104"/>
  <c r="AB74" i="104"/>
  <c r="AB66" i="104"/>
  <c r="AB58" i="104"/>
  <c r="AB50" i="104"/>
  <c r="AB42" i="104"/>
  <c r="AB34" i="104"/>
  <c r="AB26" i="104"/>
  <c r="AB18" i="104"/>
  <c r="AB10" i="104"/>
  <c r="I5" i="104"/>
  <c r="I99" i="104"/>
  <c r="I91" i="104"/>
  <c r="I83" i="104"/>
  <c r="I75" i="104"/>
  <c r="I67" i="104"/>
  <c r="I59" i="104"/>
  <c r="I51" i="104"/>
  <c r="I43" i="104"/>
  <c r="I35" i="104"/>
  <c r="I27" i="104"/>
  <c r="I19" i="104"/>
  <c r="I11" i="104"/>
  <c r="AB89" i="104"/>
  <c r="AB65" i="104"/>
  <c r="AB33" i="104"/>
  <c r="AB9" i="104"/>
  <c r="I82" i="104"/>
  <c r="I50" i="104"/>
  <c r="I26" i="104"/>
  <c r="I56" i="104"/>
  <c r="I32" i="104"/>
  <c r="I79" i="104"/>
  <c r="I55" i="104"/>
  <c r="I23" i="104"/>
  <c r="AB96" i="104"/>
  <c r="AB88" i="104"/>
  <c r="AB80" i="104"/>
  <c r="AB72" i="104"/>
  <c r="AB64" i="104"/>
  <c r="AB56" i="104"/>
  <c r="AB48" i="104"/>
  <c r="AB40" i="104"/>
  <c r="AB32" i="104"/>
  <c r="AB24" i="104"/>
  <c r="AB16" i="104"/>
  <c r="AB8" i="104"/>
  <c r="I97" i="104"/>
  <c r="I89" i="104"/>
  <c r="I81" i="104"/>
  <c r="I73" i="104"/>
  <c r="I65" i="104"/>
  <c r="I57" i="104"/>
  <c r="I49" i="104"/>
  <c r="I41" i="104"/>
  <c r="I33" i="104"/>
  <c r="I25" i="104"/>
  <c r="I17" i="104"/>
  <c r="I9" i="104"/>
  <c r="AB103" i="104"/>
  <c r="AB95" i="104"/>
  <c r="AB87" i="104"/>
  <c r="AB79" i="104"/>
  <c r="AB71" i="104"/>
  <c r="AB63" i="104"/>
  <c r="AB55" i="104"/>
  <c r="AB47" i="104"/>
  <c r="AB39" i="104"/>
  <c r="AB31" i="104"/>
  <c r="AB23" i="104"/>
  <c r="AB15" i="104"/>
  <c r="AB7" i="104"/>
  <c r="I96" i="104"/>
  <c r="I64" i="104"/>
  <c r="I40" i="104"/>
  <c r="I71" i="104"/>
  <c r="I31" i="104"/>
  <c r="AB102" i="104"/>
  <c r="AB94" i="104"/>
  <c r="AB86" i="104"/>
  <c r="AB78" i="104"/>
  <c r="AB70" i="104"/>
  <c r="AB62" i="104"/>
  <c r="AB54" i="104"/>
  <c r="AB46" i="104"/>
  <c r="AB38" i="104"/>
  <c r="AB30" i="104"/>
  <c r="AB22" i="104"/>
  <c r="AB14" i="104"/>
  <c r="AB6" i="104"/>
  <c r="B29" i="4"/>
  <c r="B30" i="4"/>
  <c r="D9" i="30"/>
  <c r="D8" i="30"/>
  <c r="D7" i="36"/>
  <c r="D12" i="75"/>
  <c r="F12" i="75" s="1"/>
  <c r="K71" i="104" l="1"/>
  <c r="M71" i="104"/>
  <c r="J71" i="104"/>
  <c r="J65" i="104"/>
  <c r="K65" i="104"/>
  <c r="M65" i="104"/>
  <c r="J74" i="104"/>
  <c r="K74" i="104"/>
  <c r="M74" i="104"/>
  <c r="J64" i="104"/>
  <c r="M64" i="104"/>
  <c r="K64" i="104"/>
  <c r="J81" i="104"/>
  <c r="M81" i="104"/>
  <c r="K81" i="104"/>
  <c r="K55" i="104"/>
  <c r="M55" i="104"/>
  <c r="J55" i="104"/>
  <c r="J51" i="104"/>
  <c r="M51" i="104"/>
  <c r="K51" i="104"/>
  <c r="J48" i="104"/>
  <c r="K48" i="104"/>
  <c r="M48" i="104"/>
  <c r="J68" i="104"/>
  <c r="M68" i="104"/>
  <c r="K68" i="104"/>
  <c r="J61" i="104"/>
  <c r="K61" i="104"/>
  <c r="M61" i="104"/>
  <c r="J96" i="104"/>
  <c r="K96" i="104"/>
  <c r="M96" i="104"/>
  <c r="J25" i="104"/>
  <c r="K25" i="104"/>
  <c r="M25" i="104"/>
  <c r="J89" i="104"/>
  <c r="K89" i="104"/>
  <c r="M89" i="104"/>
  <c r="K79" i="104"/>
  <c r="M79" i="104"/>
  <c r="J79" i="104"/>
  <c r="J59" i="104"/>
  <c r="M59" i="104"/>
  <c r="K59" i="104"/>
  <c r="K88" i="104"/>
  <c r="M88" i="104"/>
  <c r="J88" i="104"/>
  <c r="J12" i="104"/>
  <c r="M12" i="104"/>
  <c r="K12" i="104"/>
  <c r="J76" i="104"/>
  <c r="M76" i="104"/>
  <c r="K76" i="104"/>
  <c r="K15" i="104"/>
  <c r="M15" i="104"/>
  <c r="J15" i="104"/>
  <c r="J69" i="104"/>
  <c r="K69" i="104"/>
  <c r="M69" i="104"/>
  <c r="J98" i="104"/>
  <c r="M98" i="104"/>
  <c r="K98" i="104"/>
  <c r="J46" i="104"/>
  <c r="M46" i="104"/>
  <c r="K46" i="104"/>
  <c r="J80" i="104"/>
  <c r="K80" i="104"/>
  <c r="M80" i="104"/>
  <c r="J17" i="104"/>
  <c r="M17" i="104"/>
  <c r="K17" i="104"/>
  <c r="J66" i="104"/>
  <c r="M66" i="104"/>
  <c r="K66" i="104"/>
  <c r="J33" i="104"/>
  <c r="M33" i="104"/>
  <c r="K33" i="104"/>
  <c r="J97" i="104"/>
  <c r="K97" i="104"/>
  <c r="M97" i="104"/>
  <c r="J32" i="104"/>
  <c r="K32" i="104"/>
  <c r="M32" i="104"/>
  <c r="J67" i="104"/>
  <c r="M67" i="104"/>
  <c r="K67" i="104"/>
  <c r="J18" i="104"/>
  <c r="K18" i="104"/>
  <c r="M18" i="104"/>
  <c r="J20" i="104"/>
  <c r="M20" i="104"/>
  <c r="K20" i="104"/>
  <c r="J84" i="104"/>
  <c r="M84" i="104"/>
  <c r="K84" i="104"/>
  <c r="K87" i="104"/>
  <c r="M87" i="104"/>
  <c r="J87" i="104"/>
  <c r="J13" i="104"/>
  <c r="K13" i="104"/>
  <c r="M13" i="104"/>
  <c r="J77" i="104"/>
  <c r="K77" i="104"/>
  <c r="M77" i="104"/>
  <c r="K7" i="104"/>
  <c r="M7" i="104"/>
  <c r="J7" i="104"/>
  <c r="J54" i="104"/>
  <c r="K54" i="104"/>
  <c r="M54" i="104"/>
  <c r="J99" i="104"/>
  <c r="K99" i="104"/>
  <c r="M99" i="104"/>
  <c r="J45" i="104"/>
  <c r="M45" i="104"/>
  <c r="K45" i="104"/>
  <c r="J22" i="104"/>
  <c r="M22" i="104"/>
  <c r="K22" i="104"/>
  <c r="J73" i="104"/>
  <c r="M73" i="104"/>
  <c r="K73" i="104"/>
  <c r="J43" i="104"/>
  <c r="K43" i="104"/>
  <c r="M43" i="104"/>
  <c r="J34" i="104"/>
  <c r="M34" i="104"/>
  <c r="K34" i="104"/>
  <c r="J38" i="104"/>
  <c r="M38" i="104"/>
  <c r="K38" i="104"/>
  <c r="J41" i="104"/>
  <c r="M41" i="104"/>
  <c r="K41" i="104"/>
  <c r="K56" i="104"/>
  <c r="M56" i="104"/>
  <c r="J56" i="104"/>
  <c r="J11" i="104"/>
  <c r="M11" i="104"/>
  <c r="K11" i="104"/>
  <c r="J75" i="104"/>
  <c r="M75" i="104"/>
  <c r="K75" i="104"/>
  <c r="J58" i="104"/>
  <c r="M58" i="104"/>
  <c r="K58" i="104"/>
  <c r="J28" i="104"/>
  <c r="K28" i="104"/>
  <c r="M28" i="104"/>
  <c r="J92" i="104"/>
  <c r="K92" i="104"/>
  <c r="M92" i="104"/>
  <c r="J8" i="104"/>
  <c r="K8" i="104"/>
  <c r="M8" i="104"/>
  <c r="J21" i="104"/>
  <c r="M21" i="104"/>
  <c r="K21" i="104"/>
  <c r="J85" i="104"/>
  <c r="M85" i="104"/>
  <c r="K85" i="104"/>
  <c r="K47" i="104"/>
  <c r="J47" i="104"/>
  <c r="M47" i="104"/>
  <c r="J62" i="104"/>
  <c r="M62" i="104"/>
  <c r="K62" i="104"/>
  <c r="J82" i="104"/>
  <c r="M82" i="104"/>
  <c r="K82" i="104"/>
  <c r="K103" i="104"/>
  <c r="M103" i="104"/>
  <c r="J103" i="104"/>
  <c r="J52" i="104"/>
  <c r="M52" i="104"/>
  <c r="K52" i="104"/>
  <c r="J86" i="104"/>
  <c r="M86" i="104"/>
  <c r="K86" i="104"/>
  <c r="J40" i="104"/>
  <c r="K40" i="104"/>
  <c r="M40" i="104"/>
  <c r="J16" i="104"/>
  <c r="K16" i="104"/>
  <c r="M16" i="104"/>
  <c r="J53" i="104"/>
  <c r="K53" i="104"/>
  <c r="M53" i="104"/>
  <c r="J94" i="104"/>
  <c r="M94" i="104"/>
  <c r="K94" i="104"/>
  <c r="J26" i="104"/>
  <c r="K26" i="104"/>
  <c r="M26" i="104"/>
  <c r="J19" i="104"/>
  <c r="K19" i="104"/>
  <c r="M19" i="104"/>
  <c r="J83" i="104"/>
  <c r="M83" i="104"/>
  <c r="K83" i="104"/>
  <c r="K39" i="104"/>
  <c r="M39" i="104"/>
  <c r="J39" i="104"/>
  <c r="J90" i="104"/>
  <c r="M90" i="104"/>
  <c r="K90" i="104"/>
  <c r="J36" i="104"/>
  <c r="K36" i="104"/>
  <c r="M36" i="104"/>
  <c r="J100" i="104"/>
  <c r="K100" i="104"/>
  <c r="M100" i="104"/>
  <c r="J72" i="104"/>
  <c r="K72" i="104"/>
  <c r="M72" i="104"/>
  <c r="J29" i="104"/>
  <c r="M29" i="104"/>
  <c r="K29" i="104"/>
  <c r="J93" i="104"/>
  <c r="K93" i="104"/>
  <c r="M93" i="104"/>
  <c r="K95" i="104"/>
  <c r="J95" i="104"/>
  <c r="M95" i="104"/>
  <c r="J6" i="104"/>
  <c r="K6" i="104"/>
  <c r="M6" i="104"/>
  <c r="J70" i="104"/>
  <c r="K70" i="104"/>
  <c r="M70" i="104"/>
  <c r="J35" i="104"/>
  <c r="K35" i="104"/>
  <c r="M35" i="104"/>
  <c r="J42" i="104"/>
  <c r="M42" i="104"/>
  <c r="K42" i="104"/>
  <c r="J9" i="104"/>
  <c r="K9" i="104"/>
  <c r="M9" i="104"/>
  <c r="K23" i="104"/>
  <c r="M23" i="104"/>
  <c r="J23" i="104"/>
  <c r="J5" i="104"/>
  <c r="M5" i="104"/>
  <c r="K5" i="104"/>
  <c r="I104" i="104"/>
  <c r="J60" i="104"/>
  <c r="M60" i="104"/>
  <c r="K60" i="104"/>
  <c r="J30" i="104"/>
  <c r="M30" i="104"/>
  <c r="K30" i="104"/>
  <c r="J102" i="104"/>
  <c r="M102" i="104"/>
  <c r="K102" i="104"/>
  <c r="J49" i="104"/>
  <c r="K49" i="104"/>
  <c r="M49" i="104"/>
  <c r="K31" i="104"/>
  <c r="M31" i="104"/>
  <c r="J31" i="104"/>
  <c r="J57" i="104"/>
  <c r="K57" i="104"/>
  <c r="M57" i="104"/>
  <c r="J50" i="104"/>
  <c r="M50" i="104"/>
  <c r="K50" i="104"/>
  <c r="J27" i="104"/>
  <c r="K27" i="104"/>
  <c r="M27" i="104"/>
  <c r="J91" i="104"/>
  <c r="M91" i="104"/>
  <c r="K91" i="104"/>
  <c r="K63" i="104"/>
  <c r="M63" i="104"/>
  <c r="J63" i="104"/>
  <c r="J44" i="104"/>
  <c r="K44" i="104"/>
  <c r="M44" i="104"/>
  <c r="J10" i="104"/>
  <c r="K10" i="104"/>
  <c r="M10" i="104"/>
  <c r="J37" i="104"/>
  <c r="M37" i="104"/>
  <c r="K37" i="104"/>
  <c r="J101" i="104"/>
  <c r="M101" i="104"/>
  <c r="K101" i="104"/>
  <c r="K24" i="104"/>
  <c r="J24" i="104"/>
  <c r="M24" i="104"/>
  <c r="J14" i="104"/>
  <c r="M14" i="104"/>
  <c r="K14" i="104"/>
  <c r="J78" i="104"/>
  <c r="M78" i="104"/>
  <c r="K78" i="104"/>
  <c r="H104" i="104"/>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W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1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W7" i="104" s="1"/>
  <c r="T6" i="104"/>
  <c r="U6" i="104" s="1"/>
  <c r="W6" i="104" s="1"/>
  <c r="X6" i="104" l="1"/>
  <c r="Y6" i="104" s="1"/>
  <c r="V6" i="104"/>
  <c r="X7" i="104"/>
  <c r="Y7" i="104" s="1"/>
  <c r="V7" i="104"/>
  <c r="T8" i="104"/>
  <c r="U8" i="104" s="1"/>
  <c r="W8" i="104" s="1"/>
  <c r="T9" i="104"/>
  <c r="U9" i="104" s="1"/>
  <c r="W9" i="104" s="1"/>
  <c r="T10" i="104"/>
  <c r="U10" i="104" s="1"/>
  <c r="W10" i="104" s="1"/>
  <c r="T11" i="104"/>
  <c r="U11" i="104" s="1"/>
  <c r="W11" i="104" s="1"/>
  <c r="T12" i="104"/>
  <c r="U12" i="104" s="1"/>
  <c r="W12" i="104" s="1"/>
  <c r="T13" i="104"/>
  <c r="U13" i="104" s="1"/>
  <c r="W13" i="104" s="1"/>
  <c r="T14" i="104"/>
  <c r="U14" i="104" s="1"/>
  <c r="W14" i="104" s="1"/>
  <c r="T15" i="104"/>
  <c r="U15" i="104" s="1"/>
  <c r="W15" i="104" s="1"/>
  <c r="T16" i="104"/>
  <c r="U16" i="104" s="1"/>
  <c r="W16" i="104" s="1"/>
  <c r="T17" i="104"/>
  <c r="U17" i="104" s="1"/>
  <c r="W17" i="104" s="1"/>
  <c r="T18" i="104"/>
  <c r="U18" i="104" s="1"/>
  <c r="W18" i="104" s="1"/>
  <c r="T19" i="104"/>
  <c r="U19" i="104" s="1"/>
  <c r="W19" i="104" s="1"/>
  <c r="T20" i="104"/>
  <c r="U20" i="104" s="1"/>
  <c r="W20" i="104" s="1"/>
  <c r="T21" i="104"/>
  <c r="U21" i="104" s="1"/>
  <c r="W21" i="104" s="1"/>
  <c r="T22" i="104"/>
  <c r="U22" i="104" s="1"/>
  <c r="W22" i="104" s="1"/>
  <c r="T23" i="104"/>
  <c r="U23" i="104" s="1"/>
  <c r="W23" i="104" s="1"/>
  <c r="T24" i="104"/>
  <c r="U24" i="104" s="1"/>
  <c r="W24" i="104" s="1"/>
  <c r="T25" i="104"/>
  <c r="U25" i="104" s="1"/>
  <c r="W25" i="104" s="1"/>
  <c r="T26" i="104"/>
  <c r="U26" i="104" s="1"/>
  <c r="W26" i="104" s="1"/>
  <c r="T27" i="104"/>
  <c r="U27" i="104" s="1"/>
  <c r="W27" i="104" s="1"/>
  <c r="T28" i="104"/>
  <c r="U28" i="104" s="1"/>
  <c r="W28" i="104" s="1"/>
  <c r="T29" i="104"/>
  <c r="U29" i="104" s="1"/>
  <c r="W29" i="104" s="1"/>
  <c r="T30" i="104"/>
  <c r="U30" i="104" s="1"/>
  <c r="W30" i="104" s="1"/>
  <c r="T31" i="104"/>
  <c r="U31" i="104" s="1"/>
  <c r="W31" i="104" s="1"/>
  <c r="T32" i="104"/>
  <c r="U32" i="104" s="1"/>
  <c r="W32" i="104" s="1"/>
  <c r="T33" i="104"/>
  <c r="U33" i="104" s="1"/>
  <c r="W33" i="104" s="1"/>
  <c r="T34" i="104"/>
  <c r="U34" i="104" s="1"/>
  <c r="W34" i="104" s="1"/>
  <c r="T35" i="104"/>
  <c r="U35" i="104" s="1"/>
  <c r="W35" i="104" s="1"/>
  <c r="T36" i="104"/>
  <c r="U36" i="104" s="1"/>
  <c r="W36" i="104" s="1"/>
  <c r="T37" i="104"/>
  <c r="U37" i="104" s="1"/>
  <c r="W37" i="104" s="1"/>
  <c r="T38" i="104"/>
  <c r="U38" i="104" s="1"/>
  <c r="W38" i="104" s="1"/>
  <c r="T39" i="104"/>
  <c r="U39" i="104" s="1"/>
  <c r="W39" i="104" s="1"/>
  <c r="T40" i="104"/>
  <c r="U40" i="104" s="1"/>
  <c r="W40" i="104" s="1"/>
  <c r="T41" i="104"/>
  <c r="U41" i="104" s="1"/>
  <c r="W41" i="104" s="1"/>
  <c r="T42" i="104"/>
  <c r="U42" i="104" s="1"/>
  <c r="W42" i="104" s="1"/>
  <c r="T43" i="104"/>
  <c r="U43" i="104" s="1"/>
  <c r="W43" i="104" s="1"/>
  <c r="T44" i="104"/>
  <c r="U44" i="104" s="1"/>
  <c r="W44" i="104" s="1"/>
  <c r="T45" i="104"/>
  <c r="U45" i="104" s="1"/>
  <c r="W45" i="104" s="1"/>
  <c r="T46" i="104"/>
  <c r="U46" i="104" s="1"/>
  <c r="W46" i="104" s="1"/>
  <c r="T47" i="104"/>
  <c r="U47" i="104" s="1"/>
  <c r="W47" i="104" s="1"/>
  <c r="T48" i="104"/>
  <c r="U48" i="104" s="1"/>
  <c r="W48" i="104" s="1"/>
  <c r="T49" i="104"/>
  <c r="U49" i="104" s="1"/>
  <c r="W49" i="104" s="1"/>
  <c r="T50" i="104"/>
  <c r="U50" i="104" s="1"/>
  <c r="W50" i="104" s="1"/>
  <c r="T51" i="104"/>
  <c r="U51" i="104" s="1"/>
  <c r="W51" i="104" s="1"/>
  <c r="T52" i="104"/>
  <c r="U52" i="104" s="1"/>
  <c r="W52" i="104" s="1"/>
  <c r="T53" i="104"/>
  <c r="U53" i="104" s="1"/>
  <c r="W53" i="104" s="1"/>
  <c r="T54" i="104"/>
  <c r="U54" i="104" s="1"/>
  <c r="W54" i="104" s="1"/>
  <c r="T55" i="104"/>
  <c r="U55" i="104" s="1"/>
  <c r="W55" i="104" s="1"/>
  <c r="T56" i="104"/>
  <c r="U56" i="104" s="1"/>
  <c r="W56" i="104" s="1"/>
  <c r="T57" i="104"/>
  <c r="U57" i="104" s="1"/>
  <c r="W57" i="104" s="1"/>
  <c r="T58" i="104"/>
  <c r="U58" i="104" s="1"/>
  <c r="W58" i="104" s="1"/>
  <c r="T59" i="104"/>
  <c r="U59" i="104" s="1"/>
  <c r="W59" i="104" s="1"/>
  <c r="T60" i="104"/>
  <c r="U60" i="104" s="1"/>
  <c r="W60" i="104" s="1"/>
  <c r="T61" i="104"/>
  <c r="U61" i="104" s="1"/>
  <c r="W61" i="104" s="1"/>
  <c r="T62" i="104"/>
  <c r="U62" i="104" s="1"/>
  <c r="W62" i="104" s="1"/>
  <c r="T63" i="104"/>
  <c r="U63" i="104" s="1"/>
  <c r="W63" i="104" s="1"/>
  <c r="T64" i="104"/>
  <c r="U64" i="104" s="1"/>
  <c r="W64" i="104" s="1"/>
  <c r="T65" i="104"/>
  <c r="U65" i="104" s="1"/>
  <c r="W65" i="104" s="1"/>
  <c r="T66" i="104"/>
  <c r="U66" i="104" s="1"/>
  <c r="W66" i="104" s="1"/>
  <c r="T67" i="104"/>
  <c r="U67" i="104" s="1"/>
  <c r="W67" i="104" s="1"/>
  <c r="T68" i="104"/>
  <c r="U68" i="104" s="1"/>
  <c r="W68" i="104" s="1"/>
  <c r="T69" i="104"/>
  <c r="U69" i="104" s="1"/>
  <c r="W69" i="104" s="1"/>
  <c r="T70" i="104"/>
  <c r="U70" i="104" s="1"/>
  <c r="W70" i="104" s="1"/>
  <c r="T71" i="104"/>
  <c r="U71" i="104" s="1"/>
  <c r="W71" i="104" s="1"/>
  <c r="T72" i="104"/>
  <c r="U72" i="104" s="1"/>
  <c r="W72" i="104" s="1"/>
  <c r="T73" i="104"/>
  <c r="U73" i="104" s="1"/>
  <c r="W73" i="104" s="1"/>
  <c r="T74" i="104"/>
  <c r="U74" i="104" s="1"/>
  <c r="W74" i="104" s="1"/>
  <c r="T75" i="104"/>
  <c r="U75" i="104" s="1"/>
  <c r="W75" i="104" s="1"/>
  <c r="T76" i="104"/>
  <c r="U76" i="104" s="1"/>
  <c r="W76" i="104" s="1"/>
  <c r="T77" i="104"/>
  <c r="U77" i="104" s="1"/>
  <c r="W77" i="104" s="1"/>
  <c r="T78" i="104"/>
  <c r="U78" i="104" s="1"/>
  <c r="W78" i="104" s="1"/>
  <c r="T79" i="104"/>
  <c r="U79" i="104" s="1"/>
  <c r="W79" i="104" s="1"/>
  <c r="T80" i="104"/>
  <c r="U80" i="104" s="1"/>
  <c r="W80" i="104" s="1"/>
  <c r="T81" i="104"/>
  <c r="U81" i="104" s="1"/>
  <c r="W81" i="104" s="1"/>
  <c r="T82" i="104"/>
  <c r="U82" i="104" s="1"/>
  <c r="W82" i="104" s="1"/>
  <c r="T83" i="104"/>
  <c r="U83" i="104" s="1"/>
  <c r="W83" i="104" s="1"/>
  <c r="T84" i="104"/>
  <c r="U84" i="104" s="1"/>
  <c r="W84" i="104" s="1"/>
  <c r="T85" i="104"/>
  <c r="U85" i="104" s="1"/>
  <c r="W85" i="104" s="1"/>
  <c r="T86" i="104"/>
  <c r="U86" i="104" s="1"/>
  <c r="W86" i="104" s="1"/>
  <c r="T87" i="104"/>
  <c r="U87" i="104" s="1"/>
  <c r="W87" i="104" s="1"/>
  <c r="T88" i="104"/>
  <c r="U88" i="104" s="1"/>
  <c r="W88" i="104" s="1"/>
  <c r="T89" i="104"/>
  <c r="U89" i="104" s="1"/>
  <c r="W89" i="104" s="1"/>
  <c r="T90" i="104"/>
  <c r="U90" i="104" s="1"/>
  <c r="W90" i="104" s="1"/>
  <c r="T91" i="104"/>
  <c r="U91" i="104" s="1"/>
  <c r="W91" i="104" s="1"/>
  <c r="T92" i="104"/>
  <c r="U92" i="104" s="1"/>
  <c r="W92" i="104" s="1"/>
  <c r="T93" i="104"/>
  <c r="U93" i="104" s="1"/>
  <c r="W93" i="104" s="1"/>
  <c r="T94" i="104"/>
  <c r="U94" i="104" s="1"/>
  <c r="W94" i="104" s="1"/>
  <c r="T95" i="104"/>
  <c r="U95" i="104" s="1"/>
  <c r="W95" i="104" s="1"/>
  <c r="T96" i="104"/>
  <c r="U96" i="104" s="1"/>
  <c r="W96" i="104" s="1"/>
  <c r="T97" i="104"/>
  <c r="U97" i="104" s="1"/>
  <c r="W97" i="104" s="1"/>
  <c r="T98" i="104"/>
  <c r="U98" i="104" s="1"/>
  <c r="W98" i="104" s="1"/>
  <c r="T99" i="104"/>
  <c r="U99" i="104" s="1"/>
  <c r="W99" i="104" s="1"/>
  <c r="T100" i="104"/>
  <c r="U100" i="104" s="1"/>
  <c r="W100" i="104" s="1"/>
  <c r="T101" i="104"/>
  <c r="U101" i="104" s="1"/>
  <c r="W101" i="104" s="1"/>
  <c r="T102" i="104"/>
  <c r="U102" i="104" s="1"/>
  <c r="W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<sst xmlns="http://schemas.openxmlformats.org/spreadsheetml/2006/main" count="2754" uniqueCount="907">
  <si>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</si>
  <si>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</si>
  <si>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</si>
  <si>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</si>
  <si>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</si>
  <si>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</si>
  <si>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</si>
  <si>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</si>
  <si>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</si>
  <si>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</si>
  <si>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</si>
  <si>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</si>
  <si>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</si>
  <si>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</si>
  <si>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</si>
  <si>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</si>
  <si>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</si>
  <si>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</si>
  <si>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</si>
  <si>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</si>
  <si>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</si>
  <si>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</si>
  <si>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</si>
  <si>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</si>
  <si>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</si>
  <si>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</si>
  <si>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</si>
  <si>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</si>
  <si>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</si>
  <si>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</si>
  <si>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</si>
  <si>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</si>
  <si>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</si>
  <si>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</si>
  <si>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</si>
  <si>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</si>
  <si>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</si>
  <si>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</si>
  <si>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</si>
  <si>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</si>
  <si>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</si>
  <si>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</si>
  <si>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</si>
  <si>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</si>
  <si>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</si>
  <si>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</si>
  <si>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</si>
  <si>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</si>
  <si>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</si>
  <si>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</si>
  <si>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</si>
  <si>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</si>
  <si>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</si>
  <si>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</si>
  <si>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</si>
  <si>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</si>
  <si>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</si>
  <si>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</si>
  <si>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</si>
  <si>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</si>
  <si>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</si>
  <si>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</si>
  <si>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</si>
  <si>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</si>
  <si>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</si>
  <si>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</si>
  <si>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</si>
  <si>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</si>
  <si>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</si>
  <si>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</si>
  <si>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</si>
  <si>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</si>
  <si>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</si>
  <si>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</si>
  <si>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</si>
  <si>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</si>
  <si>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</si>
  <si>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</si>
  <si>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</si>
  <si>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</si>
  <si>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</si>
  <si>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</si>
  <si>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</si>
  <si>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</si>
  <si>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</si>
  <si>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</si>
  <si>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</si>
  <si>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</si>
  <si>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</si>
  <si>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</si>
  <si>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</si>
  <si>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</si>
  <si>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</si>
  <si>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</si>
  <si>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</si>
  <si>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</si>
  <si>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</si>
  <si>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</si>
  <si>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</si>
  <si>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</si>
  <si>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</si>
  <si>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</si>
  <si>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</si>
  <si>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</si>
  <si>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</si>
  <si>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</si>
  <si>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</si>
  <si>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</si>
  <si>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</si>
  <si>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</si>
  <si>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</si>
  <si>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</si>
  <si>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</si>
  <si>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</si>
  <si>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</si>
  <si>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</si>
  <si>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</si>
  <si>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</si>
  <si>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</si>
  <si>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</si>
  <si>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</si>
  <si>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</si>
  <si>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</si>
  <si>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</si>
  <si>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</si>
  <si>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</si>
  <si>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</si>
  <si>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</si>
  <si>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</si>
  <si>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</si>
  <si>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</si>
  <si>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</si>
  <si>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</si>
  <si>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</si>
  <si>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</si>
  <si>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</si>
  <si>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</si>
  <si>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</si>
  <si>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</si>
  <si>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</si>
  <si>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</si>
  <si>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</si>
  <si>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</si>
  <si>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</si>
  <si>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</si>
  <si>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</si>
  <si>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</si>
  <si>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</si>
  <si>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</si>
  <si>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</si>
  <si>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</si>
  <si>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</si>
  <si>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</si>
  <si>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</si>
  <si>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</si>
  <si>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</si>
  <si>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</si>
  <si>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</si>
  <si>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</si>
  <si>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</si>
  <si>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</si>
  <si>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</si>
  <si>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</si>
  <si>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</si>
  <si>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</si>
  <si>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</si>
  <si>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</si>
  <si>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</si>
  <si>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</si>
  <si>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</si>
  <si>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</si>
  <si>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</si>
  <si>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</si>
  <si>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</si>
  <si>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</si>
  <si>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</si>
  <si>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</si>
  <si>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</si>
  <si>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</si>
  <si>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</si>
  <si>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</si>
  <si>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</si>
  <si>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</si>
  <si>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</si>
  <si>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</si>
  <si>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</si>
  <si>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</si>
  <si>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</si>
  <si>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</si>
  <si>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</si>
  <si>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</si>
  <si>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</si>
  <si>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</si>
  <si>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</si>
  <si>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</si>
  <si>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</si>
  <si>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</si>
  <si>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</si>
  <si>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</si>
  <si>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</si>
  <si>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</si>
  <si>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</si>
  <si>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</si>
  <si>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</si>
  <si>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</si>
  <si>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</si>
  <si>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</si>
  <si>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</si>
  <si>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</si>
  <si>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</si>
  <si>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</si>
  <si>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</si>
  <si>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</si>
  <si>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</si>
  <si>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</si>
  <si>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</si>
  <si>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</si>
  <si>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</si>
  <si>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</si>
  <si>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</si>
  <si>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</si>
  <si>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</si>
  <si>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</si>
  <si>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</si>
  <si>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</si>
  <si>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</si>
  <si>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</si>
  <si>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</si>
  <si>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</si>
  <si>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</si>
  <si>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</si>
  <si>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</si>
  <si>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</si>
  <si>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</si>
  <si>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</si>
  <si>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</si>
  <si>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</si>
  <si>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</si>
  <si>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</si>
  <si>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</si>
  <si>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</si>
  <si>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</si>
  <si>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</si>
  <si>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</si>
  <si>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</si>
  <si>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</si>
  <si>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</si>
  <si>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</si>
  <si>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</si>
  <si>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</si>
  <si>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</si>
  <si>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</si>
  <si>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</si>
  <si>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</si>
  <si>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</si>
  <si>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</si>
  <si>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</si>
  <si>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</si>
  <si>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</si>
  <si>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</si>
  <si>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</si>
  <si>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</si>
  <si>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</si>
  <si>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</si>
  <si>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</si>
  <si>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</si>
  <si>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</si>
  <si>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</si>
  <si>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</si>
  <si>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</si>
  <si>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</si>
  <si>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</si>
  <si>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</si>
  <si>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</si>
  <si>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</si>
  <si>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</si>
  <si>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</si>
  <si>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</si>
  <si>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</si>
  <si>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</si>
  <si>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</si>
  <si>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</si>
  <si>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</si>
  <si>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</si>
  <si>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</si>
  <si>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</si>
  <si>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</si>
  <si>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</si>
  <si>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</si>
  <si>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</si>
  <si>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</si>
  <si>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</si>
  <si>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</si>
  <si>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</si>
  <si>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</si>
  <si>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</si>
  <si>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</si>
  <si>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</si>
  <si>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</si>
  <si>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</si>
  <si>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</si>
  <si>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</si>
  <si>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</si>
  <si>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</si>
  <si>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</si>
  <si>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</si>
  <si>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</si>
  <si>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</si>
  <si>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</si>
  <si>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</si>
  <si>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</si>
  <si>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</si>
  <si>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</si>
  <si>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</si>
  <si>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</si>
  <si>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</si>
  <si>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</si>
  <si>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</si>
  <si>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</si>
  <si>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</si>
  <si>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</si>
  <si>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</si>
  <si>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</si>
  <si>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</si>
  <si>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</si>
  <si>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</si>
  <si>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</si>
  <si>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</si>
  <si>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</si>
  <si>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</si>
  <si>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</si>
  <si>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</si>
  <si>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</si>
  <si>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</si>
  <si>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</si>
  <si>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</si>
  <si>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</si>
  <si>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</si>
  <si>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</si>
  <si>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</si>
  <si>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</si>
  <si>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</si>
  <si>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</si>
  <si>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</si>
  <si>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</si>
  <si>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</si>
  <si>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</si>
  <si>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</si>
  <si>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</si>
  <si>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</si>
  <si>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</si>
  <si>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</si>
  <si>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</si>
  <si>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</si>
  <si>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</si>
  <si>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</si>
  <si>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</si>
  <si>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</si>
  <si>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</si>
  <si>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</si>
  <si>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</si>
  <si>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</si>
  <si>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</si>
  <si>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</si>
  <si>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</si>
  <si>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</si>
  <si>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</si>
  <si>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</si>
  <si>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</si>
  <si>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</si>
  <si>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</si>
  <si>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</si>
  <si>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</si>
  <si>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</si>
  <si>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</si>
  <si>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</si>
  <si>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</si>
  <si>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</si>
  <si>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</si>
  <si>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</si>
  <si>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</si>
  <si>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</si>
  <si>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</si>
  <si>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</si>
  <si>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</si>
  <si>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</si>
  <si>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</si>
  <si>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</si>
  <si>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</si>
  <si>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</si>
  <si>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</si>
  <si>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</si>
  <si>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</si>
  <si>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</si>
  <si>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</si>
  <si>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</si>
  <si>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</si>
  <si>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</si>
  <si>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</si>
  <si>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</si>
  <si>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</si>
  <si>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</si>
  <si>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</si>
  <si>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</si>
  <si>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</si>
  <si>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</si>
  <si>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</si>
  <si>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</si>
  <si>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</si>
  <si>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</si>
  <si>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</si>
  <si>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</si>
  <si>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</si>
  <si>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</si>
  <si>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</si>
  <si>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</si>
  <si>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</si>
  <si>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</si>
  <si>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</si>
  <si>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</si>
  <si>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</si>
  <si>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</si>
  <si>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</si>
  <si>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</si>
  <si>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</si>
  <si>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</si>
  <si>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</si>
  <si>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</si>
  <si>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</si>
  <si>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</si>
  <si>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</si>
  <si>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</si>
  <si>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</si>
  <si>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</si>
  <si>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</si>
  <si>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</si>
  <si>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</si>
  <si>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</si>
  <si>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</si>
  <si>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</si>
  <si>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</si>
  <si>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</si>
  <si>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</si>
  <si>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</si>
  <si>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</si>
  <si>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</si>
  <si>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</si>
  <si>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</si>
  <si>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</si>
  <si>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</si>
  <si>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</si>
  <si>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</si>
  <si>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</si>
  <si>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</si>
  <si>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</si>
  <si>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</si>
  <si>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</si>
  <si>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</si>
  <si>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</si>
  <si>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</si>
  <si>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</si>
  <si>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</si>
  <si>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</si>
  <si>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</si>
  <si>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</si>
  <si>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</si>
  <si>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</si>
  <si>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</si>
  <si>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</si>
  <si>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</si>
  <si>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</si>
  <si>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</si>
  <si>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</si>
  <si>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</si>
  <si>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</si>
  <si>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</si>
  <si>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</si>
  <si>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</si>
  <si>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</si>
  <si>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</si>
  <si>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</si>
  <si>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</si>
  <si>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</si>
  <si>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</si>
  <si>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</si>
  <si>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</si>
  <si>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</si>
  <si>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</si>
  <si>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</si>
  <si>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</si>
  <si>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</si>
  <si>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</si>
  <si>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</si>
  <si>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</si>
  <si>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</si>
  <si>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</si>
  <si>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</si>
  <si>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</si>
  <si>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</si>
  <si>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</si>
  <si>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</si>
  <si>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</si>
  <si>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</si>
  <si>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</si>
  <si>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</si>
  <si>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</si>
  <si>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</si>
  <si>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</si>
  <si>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</si>
  <si>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</si>
  <si>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</si>
  <si>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</si>
  <si>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</si>
  <si>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</si>
  <si>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</si>
  <si>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</si>
  <si>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</si>
  <si>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</si>
  <si>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</si>
  <si>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</si>
  <si>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</si>
  <si>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</si>
  <si>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</si>
  <si>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</si>
  <si>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</si>
  <si>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</si>
  <si>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</si>
  <si>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</si>
  <si>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</si>
  <si>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</si>
  <si>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</si>
  <si>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</si>
  <si>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</si>
  <si>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</si>
  <si>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</si>
  <si>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</si>
  <si>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</si>
  <si>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</si>
  <si>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</si>
  <si>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</si>
  <si>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</si>
  <si>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</si>
  <si>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</si>
  <si>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</si>
  <si>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</si>
  <si>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</si>
  <si>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</si>
  <si>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</si>
  <si>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</si>
  <si>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</si>
  <si>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</si>
  <si>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</si>
  <si>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</si>
  <si>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</si>
  <si>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</si>
  <si>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</si>
  <si>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</si>
  <si>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</si>
  <si>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</si>
  <si>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</si>
  <si>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</si>
  <si>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</si>
  <si>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</si>
  <si>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</si>
  <si>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</si>
  <si>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</si>
  <si>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</si>
  <si>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</si>
  <si>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</si>
  <si>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</si>
  <si>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</si>
  <si>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</si>
  <si>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</si>
  <si>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</si>
  <si>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</si>
  <si>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</si>
  <si>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</si>
  <si>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</si>
  <si>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</si>
  <si>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</si>
  <si>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</si>
  <si>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</si>
  <si>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</si>
  <si>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</si>
  <si>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</si>
  <si>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</si>
  <si>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</si>
  <si>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</si>
  <si>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</si>
  <si>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</si>
  <si>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</si>
  <si>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</si>
  <si>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</si>
  <si>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</si>
  <si>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</si>
  <si>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</si>
  <si>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</si>
  <si>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</si>
  <si>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</si>
  <si>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</si>
  <si>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</si>
  <si>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</si>
  <si>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</si>
  <si>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</si>
  <si>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</si>
  <si>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</si>
  <si>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</si>
  <si>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</si>
  <si>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</si>
  <si>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</si>
  <si>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</si>
  <si>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</si>
  <si>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</si>
  <si>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</si>
  <si>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</si>
  <si>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</si>
  <si>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</si>
  <si>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</si>
  <si>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</si>
  <si>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</si>
  <si>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</si>
  <si>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</si>
  <si>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</si>
  <si>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</si>
  <si>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</si>
  <si>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</si>
  <si>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</si>
  <si>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</si>
  <si>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</si>
  <si>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</si>
  <si>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</si>
  <si>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</si>
  <si>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</si>
  <si>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</si>
  <si>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</si>
  <si>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</si>
  <si>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</si>
  <si>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</si>
  <si>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</si>
  <si>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</si>
  <si>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</si>
  <si>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</si>
  <si>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</si>
  <si>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</si>
  <si>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</si>
  <si>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</si>
  <si>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</si>
  <si>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</si>
  <si>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</si>
  <si>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</si>
  <si>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</si>
  <si>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</si>
  <si>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</si>
  <si>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</si>
  <si>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</si>
  <si>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</si>
  <si>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</si>
  <si>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</si>
  <si>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</si>
  <si>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</si>
  <si>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</si>
  <si>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</si>
  <si>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</si>
  <si>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</si>
  <si>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</si>
  <si>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</si>
  <si>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</si>
  <si>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</si>
  <si>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</si>
  <si>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</si>
  <si>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</si>
  <si>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</si>
  <si>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</si>
  <si>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</si>
  <si>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</si>
  <si>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</si>
  <si>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</si>
  <si>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</si>
  <si>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</si>
  <si>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</si>
  <si>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</si>
  <si>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</si>
  <si>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</si>
  <si>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</si>
  <si>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</si>
  <si>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</si>
  <si>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</si>
  <si>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</si>
  <si>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</si>
  <si>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</si>
  <si>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</si>
  <si>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</si>
  <si>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</si>
  <si>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</si>
  <si>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</si>
  <si>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</si>
  <si>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</si>
  <si>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</si>
  <si>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</si>
  <si>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</si>
  <si>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</si>
  <si>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</si>
  <si>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</si>
  <si>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</si>
  <si>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</si>
  <si>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</si>
  <si>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</si>
  <si>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</si>
  <si>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</si>
  <si>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</si>
  <si>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</si>
  <si>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</si>
  <si>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</si>
  <si>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</si>
  <si>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</si>
  <si>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</si>
  <si>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</si>
  <si>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</si>
  <si>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</si>
  <si>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</si>
  <si>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</si>
  <si>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</si>
  <si>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</si>
  <si>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</si>
  <si>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</si>
  <si>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</si>
  <si>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</si>
  <si>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</si>
  <si>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</si>
  <si>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</si>
  <si>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</si>
  <si>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</si>
  <si>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</si>
  <si>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</si>
  <si>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</si>
  <si>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</si>
  <si>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</si>
  <si>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</si>
  <si>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</si>
  <si>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</si>
  <si>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</si>
  <si>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</si>
  <si>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</si>
  <si>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</si>
  <si>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</si>
  <si>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</si>
  <si>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</si>
  <si>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</si>
  <si>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</si>
  <si>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</si>
  <si>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</si>
  <si>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</si>
  <si>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</si>
  <si>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</si>
  <si>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</si>
  <si>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</si>
  <si>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</si>
  <si>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</si>
  <si>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</si>
  <si>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</si>
  <si>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</si>
  <si>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</si>
  <si>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</si>
  <si>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</si>
  <si>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</si>
  <si>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</si>
  <si>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</si>
  <si>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</si>
  <si>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</si>
  <si>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</si>
  <si>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</si>
  <si>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</si>
  <si>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</si>
  <si>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</si>
  <si>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</si>
  <si>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</si>
  <si>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</si>
  <si>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</si>
  <si>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</si>
  <si>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</si>
  <si>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</si>
  <si>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</si>
  <si>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</si>
  <si>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</si>
  <si>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 xml:space="preserve">FM Supplement transfer made in October of 2024 was FFY24 Monies for the 25 program.  </t>
  </si>
  <si>
    <t>FFY2024
(Actual)</t>
  </si>
  <si>
    <t>Highway Bridge Program (HBP) - FFY 2025</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</si>
  <si>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</si>
  <si>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</si>
  <si>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</si>
  <si>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</si>
  <si>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</si>
  <si>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</si>
  <si>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</si>
  <si>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</si>
  <si>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</si>
  <si>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</si>
  <si>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</si>
  <si>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</si>
  <si>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</si>
  <si>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</si>
  <si>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</si>
  <si>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</si>
  <si>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</si>
  <si>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</si>
  <si>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</si>
  <si>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</si>
  <si>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</si>
  <si>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</si>
  <si>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</si>
  <si>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</si>
  <si>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</si>
  <si>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</si>
  <si>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</si>
  <si>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</si>
  <si>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</si>
  <si>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</si>
  <si>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</si>
  <si>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</si>
  <si>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</si>
  <si>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</si>
  <si>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</si>
  <si>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</si>
  <si>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</si>
  <si>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</si>
  <si>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</si>
  <si>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</si>
  <si>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</si>
  <si>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</si>
  <si>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</si>
  <si>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</si>
  <si>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</si>
  <si>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</si>
  <si>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</si>
  <si>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</si>
  <si>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</si>
  <si>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</si>
  <si>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</si>
  <si>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</si>
  <si>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</si>
  <si>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</si>
  <si>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</si>
  <si>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</si>
  <si>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</si>
  <si>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</si>
  <si>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</si>
  <si>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</si>
  <si>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</si>
  <si>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</si>
  <si>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</si>
  <si>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</si>
  <si>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</si>
  <si>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</si>
  <si>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</si>
  <si>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</si>
  <si>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</si>
  <si>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</si>
  <si>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</si>
  <si>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</si>
  <si>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</si>
  <si>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</si>
  <si>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</si>
  <si>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</si>
  <si>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</si>
  <si>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</si>
  <si>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</si>
  <si>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</si>
  <si>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</si>
  <si>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</si>
  <si>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</si>
  <si>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</si>
  <si>
    <t>BHS-C030(71)--63-30</t>
  </si>
  <si>
    <t>BHOS-C030(70)--5N-30</t>
  </si>
  <si>
    <t>BROS-C049(93)--5F-49</t>
  </si>
  <si>
    <t>BRS-C053(96)--60-53</t>
  </si>
  <si>
    <t>BRS-C061(129)--60-61</t>
  </si>
  <si>
    <t>County Bridge Construction Fund</t>
  </si>
  <si>
    <t>BRS-C088(66)--60-88</t>
  </si>
  <si>
    <t>BROS-C088(67)--5F-88</t>
  </si>
  <si>
    <t>BROS-C015(85)--8J-15</t>
  </si>
  <si>
    <t>BROS-C061(132)--5F-61</t>
  </si>
  <si>
    <t>BRS-2642(601)--60-76</t>
  </si>
  <si>
    <t>Funded by City HBP up to $1.5M</t>
  </si>
  <si>
    <t>BROS-C079(68)--5F-79</t>
  </si>
  <si>
    <t>$1,500,000 in City Bridge Funding</t>
  </si>
  <si>
    <r>
      <rPr>
        <sz val="11"/>
        <color rgb="FF00B0F0"/>
        <rFont val="Calibri"/>
        <family val="2"/>
        <scheme val="minor"/>
      </rPr>
      <t>Joint with Carroll County</t>
    </r>
    <r>
      <rPr>
        <sz val="11"/>
        <color theme="1"/>
        <rFont val="Calibri"/>
        <family val="2"/>
        <scheme val="minor"/>
      </rPr>
      <t xml:space="preserve"> - $20,000 in NP costs for No Excuses Road Opening Bonus</t>
    </r>
  </si>
  <si>
    <r>
      <t xml:space="preserve">&lt; $67,423,744 approved by Commission + $11,223,466 STBG off-system bridge + 1/2 of </t>
    </r>
    <r>
      <rPr>
        <sz val="10"/>
        <color rgb="FF00B0F0"/>
        <rFont val="Arial"/>
        <family val="2"/>
      </rPr>
      <t>$7,564,848 Obligation Limited Sec. 152 Redistribution</t>
    </r>
  </si>
  <si>
    <t>FFY'25 Sec 152 Redist amount from US DOT/FHWA Notice N4510.901 REDISTRIBUTION OF CERTAIN AUTHORIZED FUNDS FOR FISCAL YEAR 2025</t>
  </si>
  <si>
    <t>^ Verified by Shawn Majors</t>
  </si>
  <si>
    <t>FFY2025
(Final)</t>
  </si>
  <si>
    <t>FFY 2025 Allocation Factor (0% SD/FO,      100% Poor)</t>
  </si>
  <si>
    <t>BROS-C060(128)--8J-60</t>
  </si>
  <si>
    <t>BROS-C092(130)--5F-92</t>
  </si>
  <si>
    <t>BROS-C006(129)--8J-06</t>
  </si>
  <si>
    <t>BROS-C006(125)--8J-06</t>
  </si>
  <si>
    <t>BROS-C042(114)--5F-42</t>
  </si>
  <si>
    <t>BROS-C081(78)--5F-81</t>
  </si>
  <si>
    <t>BROS-C090(107)--8J-90</t>
  </si>
  <si>
    <t>BROS-C098(88)--8J-98</t>
  </si>
  <si>
    <t>***Tied with (122) in contract.  Investigating FMIS closure of (121) and if they should be on the same closure document.</t>
  </si>
  <si>
    <t>Final project cost = $470,664.75 &amp; CHBP = $382,340</t>
  </si>
  <si>
    <t>Final project cost = $941,191.50 &amp; CHBP = $600,821</t>
  </si>
  <si>
    <t>Final project cost = $630,101.43 &amp; CHBP = $464,270.00</t>
  </si>
  <si>
    <t>BROS-C020(126)--5F-20</t>
  </si>
  <si>
    <t>BRS-C027(92)--60-27</t>
  </si>
  <si>
    <t>20% CBCF (State) = $319,990.12, 60% CBCF(FA) = $959,970.35, 20% County HBP match = $319,990.12</t>
  </si>
  <si>
    <t>BROS-C033(158)--8J-33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</si>
</sst>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96">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xf numFmtId="166" fontId="2" fillId="0" borderId="61" xfId="1" applyNumberFormat="1" applyFont="1" applyFill="1" applyBorder="1"/>
    <xf numFmtId="166" fontId="2" fillId="5" borderId="117" xfId="1" applyNumberFormat="1" applyFont="1" applyFill="1" applyBorder="1"/>
    <xf numFmtId="166" fontId="2" fillId="0" borderId="137" xfId="1" applyNumberFormat="1" applyFont="1" applyFill="1" applyBorder="1"/>
    <xf numFmtId="166" fontId="2" fillId="0" borderId="62" xfId="1" applyNumberFormat="1" applyFont="1" applyFill="1" applyBorder="1"/>
    <xf numFmtId="166" fontId="2" fillId="0" borderId="174" xfId="1" applyNumberFormat="1" applyFont="1" applyBorder="1"/>
    <xf numFmtId="166" fontId="2" fillId="0" borderId="89" xfId="1" applyNumberFormat="1" applyFont="1" applyBorder="1"/>
    <xf numFmtId="6" fontId="0" fillId="0" borderId="0" xfId="0" applyNumberFormat="1"/>
    <xf numFmtId="166" fontId="19" fillId="0" borderId="67" xfId="1" applyNumberFormat="1" applyFont="1" applyBorder="1"/>
    <xf numFmtId="166" fontId="19" fillId="0" borderId="129" xfId="1" applyNumberFormat="1" applyFont="1" applyBorder="1"/>
    <xf numFmtId="166" fontId="19" fillId="0" borderId="138" xfId="1" applyNumberFormat="1" applyFont="1" applyBorder="1"/>
    <xf numFmtId="166" fontId="19" fillId="0" borderId="137" xfId="1" applyNumberFormat="1" applyFont="1" applyBorder="1"/>
    <xf numFmtId="166" fontId="19" fillId="0" borderId="153" xfId="1" applyNumberFormat="1" applyFont="1" applyBorder="1"/>
    <xf numFmtId="166" fontId="19" fillId="0" borderId="62" xfId="1" applyNumberFormat="1" applyFont="1" applyBorder="1"/>
    <xf numFmtId="166" fontId="2" fillId="4" borderId="138" xfId="1" applyNumberFormat="1" applyFont="1" applyFill="1" applyBorder="1"/>
    <xf numFmtId="166" fontId="2" fillId="4" borderId="153" xfId="1" applyNumberFormat="1" applyFont="1" applyFill="1" applyBorder="1"/>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168" fontId="2" fillId="0" borderId="2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AZ37" sqref="AZ37"/>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4" width="15.28515625" style="17" bestFit="1" customWidth="1"/>
    <col min="45" max="45" width="14.140625" style="17" bestFit="1" customWidth="1"/>
    <col min="46" max="46" width="14.85546875" style="17" bestFit="1" customWidth="1"/>
    <col min="47" max="48" width="13.85546875" style="31" bestFit="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875" t="s">
        <v>795</v>
      </c>
      <c r="B1" s="875"/>
      <c r="C1" s="875"/>
      <c r="D1" s="234" t="s">
        <v>107</v>
      </c>
      <c r="E1" s="235">
        <v>45931</v>
      </c>
      <c r="F1" s="384"/>
      <c r="G1" s="381"/>
      <c r="H1" s="291"/>
      <c r="I1" s="291"/>
      <c r="J1" s="392" t="s">
        <v>671</v>
      </c>
      <c r="K1" s="392" t="s">
        <v>671</v>
      </c>
      <c r="L1" s="334"/>
      <c r="M1" s="392" t="s">
        <v>671</v>
      </c>
      <c r="N1" s="334"/>
      <c r="O1" s="334"/>
      <c r="P1" s="335"/>
      <c r="Q1" s="335"/>
      <c r="R1" s="335"/>
      <c r="S1" s="335"/>
      <c r="T1" s="256"/>
      <c r="U1" s="334"/>
      <c r="V1" s="334"/>
      <c r="W1" s="392" t="s">
        <v>671</v>
      </c>
      <c r="X1" s="253"/>
      <c r="Y1" s="392" t="s">
        <v>671</v>
      </c>
      <c r="Z1" s="334"/>
      <c r="AA1" s="334"/>
      <c r="AB1" s="243" t="s">
        <v>600</v>
      </c>
      <c r="AC1" s="243" t="s">
        <v>673</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876" t="s">
        <v>0</v>
      </c>
      <c r="B2" s="878" t="s">
        <v>1</v>
      </c>
      <c r="C2" s="880" t="s">
        <v>890</v>
      </c>
      <c r="D2" s="884"/>
      <c r="E2" s="884"/>
      <c r="F2" s="884"/>
      <c r="G2" s="884"/>
      <c r="H2" s="884"/>
      <c r="I2" s="884"/>
      <c r="J2" s="884"/>
      <c r="K2" s="885"/>
      <c r="L2" s="900" t="s">
        <v>787</v>
      </c>
      <c r="M2" s="902" t="s">
        <v>788</v>
      </c>
      <c r="N2" s="890" t="s">
        <v>789</v>
      </c>
      <c r="O2" s="904"/>
      <c r="P2" s="918" t="s">
        <v>346</v>
      </c>
      <c r="Q2" s="919"/>
      <c r="R2" s="919"/>
      <c r="S2" s="920"/>
      <c r="T2" s="925" t="s">
        <v>699</v>
      </c>
      <c r="U2" s="886" t="s">
        <v>792</v>
      </c>
      <c r="V2" s="932" t="s">
        <v>639</v>
      </c>
      <c r="W2" s="886" t="s">
        <v>675</v>
      </c>
      <c r="X2" s="934" t="s">
        <v>793</v>
      </c>
      <c r="Y2" s="882" t="s">
        <v>794</v>
      </c>
      <c r="Z2" s="928" t="s">
        <v>101</v>
      </c>
      <c r="AA2" s="882" t="s">
        <v>102</v>
      </c>
      <c r="AB2" s="908" t="s">
        <v>797</v>
      </c>
      <c r="AC2" s="930" t="s">
        <v>672</v>
      </c>
      <c r="AD2" s="910" t="s">
        <v>798</v>
      </c>
      <c r="AE2" s="912" t="s">
        <v>103</v>
      </c>
      <c r="AF2" s="912"/>
      <c r="AG2" s="912"/>
      <c r="AH2" s="912"/>
      <c r="AI2" s="912"/>
      <c r="AJ2" s="912"/>
      <c r="AK2" s="912"/>
      <c r="AL2" s="912"/>
      <c r="AM2" s="912"/>
      <c r="AN2" s="912"/>
      <c r="AO2" s="912"/>
      <c r="AP2" s="912"/>
      <c r="AQ2" s="912"/>
      <c r="AR2" s="912"/>
      <c r="AS2" s="912"/>
      <c r="AT2" s="912"/>
      <c r="AU2" s="912"/>
      <c r="AV2" s="912"/>
      <c r="AW2" s="912"/>
      <c r="AX2" s="912"/>
      <c r="AY2" s="912"/>
      <c r="AZ2" s="912"/>
      <c r="BA2" s="912"/>
      <c r="BB2" s="912"/>
      <c r="BC2" s="66"/>
      <c r="BD2" s="65"/>
    </row>
    <row r="3" spans="1:56" s="62" customFormat="1" ht="15" customHeight="1">
      <c r="A3" s="876"/>
      <c r="B3" s="878"/>
      <c r="C3" s="880"/>
      <c r="D3" s="882" t="s">
        <v>599</v>
      </c>
      <c r="E3" s="890" t="s">
        <v>533</v>
      </c>
      <c r="F3" s="882" t="s">
        <v>668</v>
      </c>
      <c r="G3" s="890" t="s">
        <v>638</v>
      </c>
      <c r="H3" s="892" t="s">
        <v>785</v>
      </c>
      <c r="I3" s="894" t="s">
        <v>889</v>
      </c>
      <c r="J3" s="888" t="s">
        <v>669</v>
      </c>
      <c r="K3" s="886" t="s">
        <v>670</v>
      </c>
      <c r="L3" s="900"/>
      <c r="M3" s="902"/>
      <c r="N3" s="882" t="s">
        <v>105</v>
      </c>
      <c r="O3" s="890" t="s">
        <v>106</v>
      </c>
      <c r="P3" s="921" t="s">
        <v>790</v>
      </c>
      <c r="Q3" s="922"/>
      <c r="R3" s="923" t="s">
        <v>791</v>
      </c>
      <c r="S3" s="924"/>
      <c r="T3" s="926"/>
      <c r="U3" s="886"/>
      <c r="V3" s="932"/>
      <c r="W3" s="886"/>
      <c r="X3" s="934"/>
      <c r="Y3" s="882"/>
      <c r="Z3" s="928"/>
      <c r="AA3" s="882"/>
      <c r="AB3" s="908"/>
      <c r="AC3" s="930"/>
      <c r="AD3" s="910"/>
      <c r="AE3" s="914">
        <v>45615</v>
      </c>
      <c r="AF3" s="915"/>
      <c r="AG3" s="905">
        <v>45643</v>
      </c>
      <c r="AH3" s="906"/>
      <c r="AI3" s="907">
        <v>45679</v>
      </c>
      <c r="AJ3" s="907"/>
      <c r="AK3" s="907">
        <v>45706</v>
      </c>
      <c r="AL3" s="907"/>
      <c r="AM3" s="907">
        <v>45734</v>
      </c>
      <c r="AN3" s="907"/>
      <c r="AO3" s="907">
        <v>45762</v>
      </c>
      <c r="AP3" s="907"/>
      <c r="AQ3" s="907">
        <v>45797</v>
      </c>
      <c r="AR3" s="907"/>
      <c r="AS3" s="907">
        <v>45825</v>
      </c>
      <c r="AT3" s="916"/>
      <c r="AU3" s="898">
        <v>45853</v>
      </c>
      <c r="AV3" s="899"/>
      <c r="AW3" s="896">
        <v>45888</v>
      </c>
      <c r="AX3" s="897"/>
      <c r="AY3" s="898">
        <v>45916</v>
      </c>
      <c r="AZ3" s="899"/>
      <c r="BA3" s="898">
        <v>45951</v>
      </c>
      <c r="BB3" s="913"/>
      <c r="BC3" s="64" t="s">
        <v>108</v>
      </c>
      <c r="BD3" s="63"/>
    </row>
    <row r="4" spans="1:56" s="48" customFormat="1" ht="19.5" customHeight="1">
      <c r="A4" s="877"/>
      <c r="B4" s="879"/>
      <c r="C4" s="881"/>
      <c r="D4" s="883"/>
      <c r="E4" s="891"/>
      <c r="F4" s="883"/>
      <c r="G4" s="891"/>
      <c r="H4" s="893"/>
      <c r="I4" s="895"/>
      <c r="J4" s="889"/>
      <c r="K4" s="887"/>
      <c r="L4" s="901"/>
      <c r="M4" s="903"/>
      <c r="N4" s="883"/>
      <c r="O4" s="891"/>
      <c r="P4" s="336" t="s">
        <v>104</v>
      </c>
      <c r="Q4" s="337" t="s">
        <v>106</v>
      </c>
      <c r="R4" s="338" t="s">
        <v>104</v>
      </c>
      <c r="S4" s="339" t="s">
        <v>106</v>
      </c>
      <c r="T4" s="927"/>
      <c r="U4" s="917"/>
      <c r="V4" s="933"/>
      <c r="W4" s="887"/>
      <c r="X4" s="935"/>
      <c r="Y4" s="883"/>
      <c r="Z4" s="929"/>
      <c r="AA4" s="883"/>
      <c r="AB4" s="909"/>
      <c r="AC4" s="931"/>
      <c r="AD4" s="911"/>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2">
        <v>396081.37477400462</v>
      </c>
      <c r="G5" s="240">
        <v>80125.84</v>
      </c>
      <c r="H5" s="429">
        <v>381248.23</v>
      </c>
      <c r="I5" s="390">
        <f>$C5*Allocations!$B$16</f>
        <v>347318.62565551931</v>
      </c>
      <c r="J5" s="237">
        <f>SUM(D5:I5)</f>
        <v>1691332.148319171</v>
      </c>
      <c r="K5" s="165">
        <f>ROUND(AVERAGE((D5+E5),(F5+G5),H5,I5),2)</f>
        <v>422833.04</v>
      </c>
      <c r="L5" s="815">
        <v>625060.44999999995</v>
      </c>
      <c r="M5" s="427">
        <f>$L5+$I5</f>
        <v>972379.07565551926</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972379.07565551926</v>
      </c>
      <c r="V5" s="340">
        <f t="shared" ref="V5:V36" si="2">$U5/$K5</f>
        <v>2.2996761928905065</v>
      </c>
      <c r="W5" s="341">
        <f>(($I5)*4.5)+$U5</f>
        <v>2535312.8911053562</v>
      </c>
      <c r="X5" s="342">
        <f t="shared" ref="X5:X36" si="3">IF((($U5-$J5)-($Q5+$S5))&gt;0,(($U5-$J5)-($Q5+$S5)),0)</f>
        <v>0</v>
      </c>
      <c r="Y5" s="239">
        <f>IF($X5&gt;0,0,($H5))</f>
        <v>381248.23</v>
      </c>
      <c r="Z5" s="255">
        <f>IF($Y5&gt;0,$Y5/$Y$104,0)</f>
        <v>6.848340504975149E-3</v>
      </c>
      <c r="AA5" s="240">
        <f t="shared" ref="AA5:AA36" si="4">IF($Z5&gt;0,$Z5*$X$104,0)</f>
        <v>11575.039374133306</v>
      </c>
      <c r="AB5" s="236">
        <f>ROUND($C5*Allocations!$B$16,2)</f>
        <v>347318.63</v>
      </c>
      <c r="AC5" s="241">
        <f>$C5*Allocations!$B$24</f>
        <v>0</v>
      </c>
      <c r="AD5" s="244">
        <f t="shared" ref="AD5:AD36" si="5">ROUND($L5+$AB5+$AC5+$AA5-$O5-$T5-$X5,2)</f>
        <v>983954.12</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3">
        <v>587846.59627570619</v>
      </c>
      <c r="G6" s="240">
        <v>118919.25</v>
      </c>
      <c r="H6" s="429">
        <v>581363.26</v>
      </c>
      <c r="I6" s="390">
        <f>$C6*Allocations!$B$16</f>
        <v>611828.97652830498</v>
      </c>
      <c r="J6" s="237">
        <f t="shared" ref="J6:J69" si="6">SUM(D6:I6)</f>
        <v>2594555.2178602801</v>
      </c>
      <c r="K6" s="165">
        <f t="shared" ref="K6:K69" si="7">ROUND(AVERAGE((D6+E6),(F6+G6),H6,I6),2)</f>
        <v>648638.80000000005</v>
      </c>
      <c r="L6" s="815">
        <v>1562515.16</v>
      </c>
      <c r="M6" s="427">
        <f t="shared" ref="M6:M69" si="8">$L6+$I6</f>
        <v>2174344.1365283048</v>
      </c>
      <c r="N6" s="239">
        <f t="shared" si="0"/>
        <v>0</v>
      </c>
      <c r="O6" s="240">
        <f t="shared" si="1"/>
        <v>0</v>
      </c>
      <c r="P6" s="319"/>
      <c r="Q6" s="320"/>
      <c r="R6" s="320"/>
      <c r="S6" s="321"/>
      <c r="T6" s="330">
        <f>'Project Final Cost Tracking'!C5</f>
        <v>0</v>
      </c>
      <c r="U6" s="341">
        <f t="shared" ref="U6:U69" si="9">$M6-$O6-$T6</f>
        <v>2174344.1365283048</v>
      </c>
      <c r="V6" s="340">
        <f t="shared" si="2"/>
        <v>3.3521647741829574</v>
      </c>
      <c r="W6" s="341">
        <f t="shared" ref="W6:W69" si="10">(($I6)*4.5)+$U6</f>
        <v>4927574.530905677</v>
      </c>
      <c r="X6" s="342">
        <f t="shared" si="3"/>
        <v>0</v>
      </c>
      <c r="Y6" s="239">
        <f t="shared" ref="Y6:Y69" si="11">IF($X6&gt;0,0,($H6))</f>
        <v>581363.26</v>
      </c>
      <c r="Z6" s="255">
        <f t="shared" ref="Z6:Z69" si="12">IF($Y6&gt;0,$Y6/$Y$104,0)</f>
        <v>1.0442995529611768E-2</v>
      </c>
      <c r="AA6" s="240">
        <f t="shared" si="4"/>
        <v>17650.711782122893</v>
      </c>
      <c r="AB6" s="238">
        <f>ROUND($C6*Allocations!$B$16,2)</f>
        <v>611828.98</v>
      </c>
      <c r="AC6" s="241">
        <f>$C6*Allocations!$B$24</f>
        <v>0</v>
      </c>
      <c r="AD6" s="244">
        <f t="shared" si="5"/>
        <v>2191994.85</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4">
        <v>339195.77345705783</v>
      </c>
      <c r="G7" s="240">
        <v>68618.09</v>
      </c>
      <c r="H7" s="429">
        <v>325999.40000000002</v>
      </c>
      <c r="I7" s="390">
        <f>$C7*Allocations!$B$16</f>
        <v>323095.81836606143</v>
      </c>
      <c r="J7" s="386">
        <f t="shared" si="6"/>
        <v>1537457.5440599129</v>
      </c>
      <c r="K7" s="165">
        <f t="shared" si="7"/>
        <v>384364.39</v>
      </c>
      <c r="L7" s="815">
        <v>-429735.75</v>
      </c>
      <c r="M7" s="427">
        <f t="shared" si="8"/>
        <v>-106639.93163393857</v>
      </c>
      <c r="N7" s="239">
        <f t="shared" si="0"/>
        <v>0</v>
      </c>
      <c r="O7" s="240">
        <f t="shared" si="1"/>
        <v>0</v>
      </c>
      <c r="P7" s="319"/>
      <c r="Q7" s="320"/>
      <c r="R7" s="320"/>
      <c r="S7" s="321"/>
      <c r="T7" s="330">
        <f>'Project Final Cost Tracking'!C6</f>
        <v>0</v>
      </c>
      <c r="U7" s="341">
        <f t="shared" si="9"/>
        <v>-106639.93163393857</v>
      </c>
      <c r="V7" s="340">
        <f t="shared" si="2"/>
        <v>-0.27744487889197689</v>
      </c>
      <c r="W7" s="341">
        <f t="shared" si="10"/>
        <v>1347291.2510133379</v>
      </c>
      <c r="X7" s="342">
        <f t="shared" si="3"/>
        <v>0</v>
      </c>
      <c r="Y7" s="239">
        <f t="shared" si="11"/>
        <v>325999.40000000002</v>
      </c>
      <c r="Z7" s="255">
        <f t="shared" si="12"/>
        <v>5.855908880200167E-3</v>
      </c>
      <c r="AA7" s="240">
        <f t="shared" si="4"/>
        <v>9897.6351731359737</v>
      </c>
      <c r="AB7" s="239">
        <f>ROUND($C7*Allocations!$B$16,2)</f>
        <v>323095.82</v>
      </c>
      <c r="AC7" s="165">
        <f>$C7*Allocations!$B$24</f>
        <v>0</v>
      </c>
      <c r="AD7" s="245">
        <f t="shared" si="5"/>
        <v>-96742.29</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3">
        <v>735523.72706368018</v>
      </c>
      <c r="G8" s="240">
        <v>148793.81</v>
      </c>
      <c r="H8" s="429">
        <v>761725.65</v>
      </c>
      <c r="I8" s="390">
        <f>$C8*Allocations!$B$16</f>
        <v>731602.06245407939</v>
      </c>
      <c r="J8" s="237">
        <f t="shared" si="6"/>
        <v>3032948.4280474535</v>
      </c>
      <c r="K8" s="165">
        <f t="shared" si="7"/>
        <v>758237.11</v>
      </c>
      <c r="L8" s="815">
        <v>1222705.0900000001</v>
      </c>
      <c r="M8" s="427">
        <f t="shared" si="8"/>
        <v>1954307.1524540796</v>
      </c>
      <c r="N8" s="239">
        <f t="shared" si="0"/>
        <v>1223739.1499999999</v>
      </c>
      <c r="O8" s="240">
        <f t="shared" si="1"/>
        <v>1223739.1499999999</v>
      </c>
      <c r="P8" s="319"/>
      <c r="Q8" s="320"/>
      <c r="R8" s="320"/>
      <c r="S8" s="321"/>
      <c r="T8" s="330">
        <f>'Project Final Cost Tracking'!C7</f>
        <v>-13543.189999999944</v>
      </c>
      <c r="U8" s="341">
        <f t="shared" si="9"/>
        <v>744111.19245407963</v>
      </c>
      <c r="V8" s="340">
        <f t="shared" si="2"/>
        <v>0.98137005250782261</v>
      </c>
      <c r="W8" s="341">
        <f t="shared" si="10"/>
        <v>4036320.4734974368</v>
      </c>
      <c r="X8" s="342">
        <f t="shared" si="3"/>
        <v>0</v>
      </c>
      <c r="Y8" s="239">
        <f t="shared" si="11"/>
        <v>761725.65</v>
      </c>
      <c r="Z8" s="255">
        <f t="shared" si="12"/>
        <v>1.3682834993289081E-2</v>
      </c>
      <c r="AA8" s="240">
        <f t="shared" si="4"/>
        <v>23126.676262962024</v>
      </c>
      <c r="AB8" s="238">
        <f>ROUND($C8*Allocations!$B$16,2)</f>
        <v>731602.06</v>
      </c>
      <c r="AC8" s="241">
        <f>$C8*Allocations!$B$24</f>
        <v>0</v>
      </c>
      <c r="AD8" s="244">
        <f t="shared" si="5"/>
        <v>767237.87</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1">
        <v>335263.20313078968</v>
      </c>
      <c r="G9" s="343">
        <v>67822.539999999994</v>
      </c>
      <c r="H9" s="430">
        <v>272705.39</v>
      </c>
      <c r="I9" s="391">
        <f>$C9*Allocations!$B$16</f>
        <v>294073.98459455941</v>
      </c>
      <c r="J9" s="387">
        <f t="shared" si="6"/>
        <v>1301972.5826393715</v>
      </c>
      <c r="K9" s="168">
        <f t="shared" si="7"/>
        <v>325493.15000000002</v>
      </c>
      <c r="L9" s="816">
        <v>-111023.63</v>
      </c>
      <c r="M9" s="428">
        <f t="shared" si="8"/>
        <v>183050.35459455941</v>
      </c>
      <c r="N9" s="305">
        <f t="shared" si="0"/>
        <v>0</v>
      </c>
      <c r="O9" s="343">
        <f t="shared" si="1"/>
        <v>0</v>
      </c>
      <c r="P9" s="344"/>
      <c r="Q9" s="345"/>
      <c r="R9" s="345"/>
      <c r="S9" s="346"/>
      <c r="T9" s="188">
        <f>'Project Final Cost Tracking'!C8</f>
        <v>0</v>
      </c>
      <c r="U9" s="348">
        <f t="shared" si="9"/>
        <v>183050.35459455941</v>
      </c>
      <c r="V9" s="347">
        <f t="shared" si="2"/>
        <v>0.56237851578307996</v>
      </c>
      <c r="W9" s="348">
        <f t="shared" si="10"/>
        <v>1506383.2852700767</v>
      </c>
      <c r="X9" s="349">
        <f t="shared" si="3"/>
        <v>0</v>
      </c>
      <c r="Y9" s="305">
        <f t="shared" si="11"/>
        <v>272705.39</v>
      </c>
      <c r="Z9" s="350">
        <f t="shared" si="12"/>
        <v>4.8985915770993742E-3</v>
      </c>
      <c r="AA9" s="343">
        <f t="shared" si="4"/>
        <v>8279.5810666147336</v>
      </c>
      <c r="AB9" s="233">
        <f>ROUND($C9*Allocations!$B$16,2)</f>
        <v>294073.98</v>
      </c>
      <c r="AC9" s="242">
        <f>$C9*Allocations!$B$24</f>
        <v>0</v>
      </c>
      <c r="AD9" s="246">
        <f t="shared" si="5"/>
        <v>191329.93</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3">
        <v>1196782.4137933981</v>
      </c>
      <c r="G10" s="240">
        <v>242104.78</v>
      </c>
      <c r="H10" s="429">
        <v>1069866.6000000001</v>
      </c>
      <c r="I10" s="390">
        <f>$C10*Allocations!$B$16</f>
        <v>1149049.5165569515</v>
      </c>
      <c r="J10" s="237">
        <f t="shared" si="6"/>
        <v>5119154.2759958766</v>
      </c>
      <c r="K10" s="165">
        <f t="shared" si="7"/>
        <v>1279788.57</v>
      </c>
      <c r="L10" s="815">
        <v>4300813.4800000004</v>
      </c>
      <c r="M10" s="427">
        <f t="shared" si="8"/>
        <v>5449862.9965569517</v>
      </c>
      <c r="N10" s="239">
        <f t="shared" si="0"/>
        <v>821577.71</v>
      </c>
      <c r="O10" s="240">
        <f t="shared" si="1"/>
        <v>821577.71</v>
      </c>
      <c r="P10" s="319"/>
      <c r="Q10" s="320"/>
      <c r="R10" s="320"/>
      <c r="S10" s="321"/>
      <c r="T10" s="330">
        <f>'Project Final Cost Tracking'!C9</f>
        <v>0</v>
      </c>
      <c r="U10" s="341">
        <f t="shared" si="9"/>
        <v>4628285.2865569517</v>
      </c>
      <c r="V10" s="340">
        <f t="shared" si="2"/>
        <v>3.6164452434177869</v>
      </c>
      <c r="W10" s="341">
        <f t="shared" si="10"/>
        <v>9799008.1110632345</v>
      </c>
      <c r="X10" s="342">
        <f t="shared" si="3"/>
        <v>0</v>
      </c>
      <c r="Y10" s="239">
        <f t="shared" si="11"/>
        <v>1069866.6000000001</v>
      </c>
      <c r="Z10" s="255">
        <f t="shared" si="12"/>
        <v>1.9217953540925415E-2</v>
      </c>
      <c r="AA10" s="240">
        <f t="shared" si="4"/>
        <v>32482.11282205856</v>
      </c>
      <c r="AB10" s="238">
        <f>ROUND($C10*Allocations!$B$16,2)</f>
        <v>1149049.52</v>
      </c>
      <c r="AC10" s="241">
        <f>$C10*Allocations!$B$24</f>
        <v>0</v>
      </c>
      <c r="AD10" s="244">
        <f t="shared" si="5"/>
        <v>4660767.4000000004</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3">
        <v>594373.39187911677</v>
      </c>
      <c r="G11" s="240">
        <v>120239.6</v>
      </c>
      <c r="H11" s="429">
        <v>542010.05000000005</v>
      </c>
      <c r="I11" s="390">
        <f>$C11*Allocations!$B$16</f>
        <v>553100.47436424764</v>
      </c>
      <c r="J11" s="237">
        <f t="shared" si="6"/>
        <v>2407402.6143899215</v>
      </c>
      <c r="K11" s="165">
        <f t="shared" si="7"/>
        <v>601850.65</v>
      </c>
      <c r="L11" s="815">
        <v>-468782.27</v>
      </c>
      <c r="M11" s="427">
        <f t="shared" si="8"/>
        <v>84318.20436424762</v>
      </c>
      <c r="N11" s="239">
        <f t="shared" si="0"/>
        <v>495774.71</v>
      </c>
      <c r="O11" s="240">
        <f t="shared" si="1"/>
        <v>495774.71</v>
      </c>
      <c r="P11" s="319"/>
      <c r="Q11" s="320"/>
      <c r="R11" s="320"/>
      <c r="S11" s="321"/>
      <c r="T11" s="330">
        <f>'Project Final Cost Tracking'!C10</f>
        <v>0</v>
      </c>
      <c r="U11" s="341">
        <f t="shared" si="9"/>
        <v>-411456.5056357524</v>
      </c>
      <c r="V11" s="340">
        <f t="shared" si="2"/>
        <v>-0.6836521745648233</v>
      </c>
      <c r="W11" s="341">
        <f t="shared" si="10"/>
        <v>2077495.6290033618</v>
      </c>
      <c r="X11" s="342">
        <f t="shared" si="3"/>
        <v>0</v>
      </c>
      <c r="Y11" s="239">
        <f t="shared" si="11"/>
        <v>542010.05000000005</v>
      </c>
      <c r="Z11" s="255">
        <f t="shared" si="12"/>
        <v>9.7360960325471053E-3</v>
      </c>
      <c r="AA11" s="240">
        <f t="shared" si="4"/>
        <v>16455.912909880168</v>
      </c>
      <c r="AB11" s="238">
        <f>ROUND($C11*Allocations!$B$16,2)</f>
        <v>553100.47</v>
      </c>
      <c r="AC11" s="241">
        <f>$C11*Allocations!$B$24</f>
        <v>0</v>
      </c>
      <c r="AD11" s="244">
        <f t="shared" si="5"/>
        <v>-395000.6</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3">
        <v>556008.6365862689</v>
      </c>
      <c r="G12" s="240">
        <v>112478.55</v>
      </c>
      <c r="H12" s="429">
        <v>500689.89</v>
      </c>
      <c r="I12" s="390">
        <f>$C12*Allocations!$B$16</f>
        <v>491102.39506251365</v>
      </c>
      <c r="J12" s="237">
        <f t="shared" si="6"/>
        <v>2390730.1201989804</v>
      </c>
      <c r="K12" s="165">
        <f t="shared" si="7"/>
        <v>597682.53</v>
      </c>
      <c r="L12" s="815">
        <v>1419214.22</v>
      </c>
      <c r="M12" s="427">
        <f t="shared" si="8"/>
        <v>1910316.6150625136</v>
      </c>
      <c r="N12" s="239">
        <f t="shared" si="0"/>
        <v>586206.17000000004</v>
      </c>
      <c r="O12" s="240">
        <f t="shared" si="1"/>
        <v>586206.17000000004</v>
      </c>
      <c r="P12" s="319"/>
      <c r="Q12" s="320"/>
      <c r="R12" s="320"/>
      <c r="S12" s="321"/>
      <c r="T12" s="330">
        <f>'Project Final Cost Tracking'!C11</f>
        <v>0</v>
      </c>
      <c r="U12" s="341">
        <f t="shared" si="9"/>
        <v>1324110.4450625135</v>
      </c>
      <c r="V12" s="340">
        <f t="shared" si="2"/>
        <v>2.2154076430216447</v>
      </c>
      <c r="W12" s="341">
        <f t="shared" si="10"/>
        <v>3534071.2228438249</v>
      </c>
      <c r="X12" s="342">
        <f t="shared" si="3"/>
        <v>0</v>
      </c>
      <c r="Y12" s="239">
        <f t="shared" si="11"/>
        <v>500689.89</v>
      </c>
      <c r="Z12" s="255">
        <f t="shared" si="12"/>
        <v>8.9938643233007324E-3</v>
      </c>
      <c r="AA12" s="240">
        <f t="shared" si="4"/>
        <v>15201.395665444728</v>
      </c>
      <c r="AB12" s="238">
        <f>ROUND($C12*Allocations!$B$16,2)</f>
        <v>491102.4</v>
      </c>
      <c r="AC12" s="241">
        <f>$C12*Allocations!$B$24</f>
        <v>0</v>
      </c>
      <c r="AD12" s="244">
        <f t="shared" si="5"/>
        <v>1339311.8500000001</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3">
        <v>615501.00002574816</v>
      </c>
      <c r="G13" s="240">
        <v>124513.64</v>
      </c>
      <c r="H13" s="429">
        <v>643523.68999999994</v>
      </c>
      <c r="I13" s="390">
        <f>$C13*Allocations!$B$16</f>
        <v>621778.93402180308</v>
      </c>
      <c r="J13" s="237">
        <f t="shared" si="6"/>
        <v>2778663.8955150894</v>
      </c>
      <c r="K13" s="165">
        <f t="shared" si="7"/>
        <v>694665.97</v>
      </c>
      <c r="L13" s="815">
        <v>116033.9</v>
      </c>
      <c r="M13" s="427">
        <f t="shared" si="8"/>
        <v>737812.83402180311</v>
      </c>
      <c r="N13" s="239">
        <f t="shared" si="0"/>
        <v>0</v>
      </c>
      <c r="O13" s="240">
        <f t="shared" si="1"/>
        <v>0</v>
      </c>
      <c r="P13" s="319"/>
      <c r="Q13" s="320"/>
      <c r="R13" s="320"/>
      <c r="S13" s="321"/>
      <c r="T13" s="330">
        <f>'Project Final Cost Tracking'!C12</f>
        <v>0</v>
      </c>
      <c r="U13" s="341">
        <f t="shared" si="9"/>
        <v>737812.83402180311</v>
      </c>
      <c r="V13" s="340">
        <f t="shared" si="2"/>
        <v>1.0621116707671792</v>
      </c>
      <c r="W13" s="341">
        <f t="shared" si="10"/>
        <v>3535818.0371199166</v>
      </c>
      <c r="X13" s="342">
        <f t="shared" si="3"/>
        <v>0</v>
      </c>
      <c r="Y13" s="239">
        <f t="shared" si="11"/>
        <v>643523.68999999994</v>
      </c>
      <c r="Z13" s="255">
        <f t="shared" si="12"/>
        <v>1.155957983631313E-2</v>
      </c>
      <c r="AA13" s="240">
        <f t="shared" si="4"/>
        <v>19537.95837934134</v>
      </c>
      <c r="AB13" s="238">
        <f>ROUND($C13*Allocations!$B$16,2)</f>
        <v>621778.93000000005</v>
      </c>
      <c r="AC13" s="241">
        <f>$C13*Allocations!$B$24</f>
        <v>0</v>
      </c>
      <c r="AD13" s="244">
        <f t="shared" si="5"/>
        <v>757350.79</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1">
        <v>495462.25985607883</v>
      </c>
      <c r="G14" s="343">
        <v>100230.24</v>
      </c>
      <c r="H14" s="430">
        <v>482381.38</v>
      </c>
      <c r="I14" s="391">
        <f>$C14*Allocations!$B$16</f>
        <v>458269.83347673685</v>
      </c>
      <c r="J14" s="387">
        <f t="shared" si="6"/>
        <v>2157083.2515819087</v>
      </c>
      <c r="K14" s="168">
        <f t="shared" si="7"/>
        <v>539270.81000000006</v>
      </c>
      <c r="L14" s="816">
        <v>552193.57999999996</v>
      </c>
      <c r="M14" s="428">
        <f t="shared" si="8"/>
        <v>1010463.4134767368</v>
      </c>
      <c r="N14" s="305">
        <f t="shared" si="0"/>
        <v>609788.25</v>
      </c>
      <c r="O14" s="343">
        <f t="shared" si="1"/>
        <v>609788.25</v>
      </c>
      <c r="P14" s="344"/>
      <c r="Q14" s="345"/>
      <c r="R14" s="345"/>
      <c r="S14" s="346"/>
      <c r="T14" s="188">
        <f>'Project Final Cost Tracking'!C13</f>
        <v>0</v>
      </c>
      <c r="U14" s="348">
        <f t="shared" si="9"/>
        <v>400675.16347673675</v>
      </c>
      <c r="V14" s="347">
        <f t="shared" si="2"/>
        <v>0.74299434726818736</v>
      </c>
      <c r="W14" s="348">
        <f t="shared" si="10"/>
        <v>2462889.4141220525</v>
      </c>
      <c r="X14" s="349">
        <f t="shared" si="3"/>
        <v>0</v>
      </c>
      <c r="Y14" s="305">
        <f t="shared" si="11"/>
        <v>482381.38</v>
      </c>
      <c r="Z14" s="350">
        <f t="shared" si="12"/>
        <v>8.6649895882790311E-3</v>
      </c>
      <c r="AA14" s="343">
        <f t="shared" si="4"/>
        <v>14645.532824765536</v>
      </c>
      <c r="AB14" s="233">
        <f>ROUND($C14*Allocations!$B$16,2)</f>
        <v>458269.83</v>
      </c>
      <c r="AC14" s="242">
        <f>$C14*Allocations!$B$24</f>
        <v>0</v>
      </c>
      <c r="AD14" s="246">
        <f t="shared" si="5"/>
        <v>415320.69</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4">
        <v>481158.59270769783</v>
      </c>
      <c r="G15" s="240">
        <v>97336.65</v>
      </c>
      <c r="H15" s="429">
        <v>493181.92</v>
      </c>
      <c r="I15" s="390">
        <f>$C15*Allocations!$B$16</f>
        <v>519302.90262839088</v>
      </c>
      <c r="J15" s="386">
        <f t="shared" si="6"/>
        <v>2185694.5380166848</v>
      </c>
      <c r="K15" s="165">
        <f t="shared" si="7"/>
        <v>546423.63</v>
      </c>
      <c r="L15" s="815">
        <v>1255251.03</v>
      </c>
      <c r="M15" s="427">
        <f t="shared" si="8"/>
        <v>1774553.9326283908</v>
      </c>
      <c r="N15" s="239">
        <f t="shared" si="0"/>
        <v>0</v>
      </c>
      <c r="O15" s="240">
        <f t="shared" si="1"/>
        <v>0</v>
      </c>
      <c r="P15" s="319"/>
      <c r="Q15" s="320"/>
      <c r="R15" s="320"/>
      <c r="S15" s="321"/>
      <c r="T15" s="330">
        <f>'Project Final Cost Tracking'!C14</f>
        <v>0</v>
      </c>
      <c r="U15" s="341">
        <f t="shared" si="9"/>
        <v>1774553.9326283908</v>
      </c>
      <c r="V15" s="340">
        <f t="shared" si="2"/>
        <v>3.2475790489302061</v>
      </c>
      <c r="W15" s="341">
        <f t="shared" si="10"/>
        <v>4111416.9944561496</v>
      </c>
      <c r="X15" s="342">
        <f t="shared" si="3"/>
        <v>0</v>
      </c>
      <c r="Y15" s="239">
        <f t="shared" si="11"/>
        <v>493181.92</v>
      </c>
      <c r="Z15" s="255">
        <f t="shared" si="12"/>
        <v>8.8589990806184557E-3</v>
      </c>
      <c r="AA15" s="240">
        <f t="shared" si="4"/>
        <v>14973.446939309495</v>
      </c>
      <c r="AB15" s="239">
        <f>ROUND($C15*Allocations!$B$16,2)</f>
        <v>519302.9</v>
      </c>
      <c r="AC15" s="165">
        <f>$C15*Allocations!$B$24</f>
        <v>0</v>
      </c>
      <c r="AD15" s="245">
        <f t="shared" si="5"/>
        <v>1789527.38</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3">
        <v>819357.36094093649</v>
      </c>
      <c r="G16" s="240">
        <v>165753.04999999999</v>
      </c>
      <c r="H16" s="429">
        <v>818559.71</v>
      </c>
      <c r="I16" s="390">
        <f>$C16*Allocations!$B$16</f>
        <v>864449.60431600374</v>
      </c>
      <c r="J16" s="237">
        <f t="shared" si="6"/>
        <v>3676589.7165295007</v>
      </c>
      <c r="K16" s="165">
        <f t="shared" si="7"/>
        <v>919147.43</v>
      </c>
      <c r="L16" s="815">
        <v>2018973.78</v>
      </c>
      <c r="M16" s="427">
        <f t="shared" si="8"/>
        <v>2883423.3843160039</v>
      </c>
      <c r="N16" s="239">
        <f t="shared" si="0"/>
        <v>1190121</v>
      </c>
      <c r="O16" s="240">
        <f t="shared" si="1"/>
        <v>1190121</v>
      </c>
      <c r="P16" s="319"/>
      <c r="Q16" s="320"/>
      <c r="R16" s="320"/>
      <c r="S16" s="321"/>
      <c r="T16" s="330">
        <f>'Project Final Cost Tracking'!C15</f>
        <v>3234.460000000021</v>
      </c>
      <c r="U16" s="341">
        <f t="shared" si="9"/>
        <v>1690067.9243160039</v>
      </c>
      <c r="V16" s="340">
        <f t="shared" si="2"/>
        <v>1.8387343196031172</v>
      </c>
      <c r="W16" s="341">
        <f t="shared" si="10"/>
        <v>5580091.1437380202</v>
      </c>
      <c r="X16" s="342">
        <f t="shared" si="3"/>
        <v>0</v>
      </c>
      <c r="Y16" s="239">
        <f t="shared" si="11"/>
        <v>818559.71</v>
      </c>
      <c r="Z16" s="255">
        <f t="shared" si="12"/>
        <v>1.470374201536283E-2</v>
      </c>
      <c r="AA16" s="240">
        <f t="shared" si="4"/>
        <v>24852.209473416155</v>
      </c>
      <c r="AB16" s="238">
        <f>ROUND($C16*Allocations!$B$16,2)</f>
        <v>864449.6</v>
      </c>
      <c r="AC16" s="241">
        <f>$C16*Allocations!$B$24</f>
        <v>0</v>
      </c>
      <c r="AD16" s="244">
        <f t="shared" si="5"/>
        <v>1714920.13</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3">
        <v>571121.62795504939</v>
      </c>
      <c r="G17" s="240">
        <v>115535.85</v>
      </c>
      <c r="H17" s="429">
        <v>549909.07999999996</v>
      </c>
      <c r="I17" s="390">
        <f>$C17*Allocations!$B$16</f>
        <v>571812.74695417797</v>
      </c>
      <c r="J17" s="237">
        <f t="shared" si="6"/>
        <v>2277104.2222878258</v>
      </c>
      <c r="K17" s="165">
        <f t="shared" si="7"/>
        <v>569276.06000000006</v>
      </c>
      <c r="L17" s="815">
        <v>690951.57</v>
      </c>
      <c r="M17" s="427">
        <f t="shared" si="8"/>
        <v>1262764.3169541778</v>
      </c>
      <c r="N17" s="239">
        <f t="shared" si="0"/>
        <v>594238.19999999995</v>
      </c>
      <c r="O17" s="240">
        <f t="shared" si="1"/>
        <v>594238.19999999995</v>
      </c>
      <c r="P17" s="319"/>
      <c r="Q17" s="320"/>
      <c r="R17" s="320"/>
      <c r="S17" s="321"/>
      <c r="T17" s="330">
        <f>'Project Final Cost Tracking'!C16</f>
        <v>-48968.139999999898</v>
      </c>
      <c r="U17" s="341">
        <f t="shared" si="9"/>
        <v>717494.25695417775</v>
      </c>
      <c r="V17" s="340">
        <f t="shared" si="2"/>
        <v>1.2603626032582114</v>
      </c>
      <c r="W17" s="341">
        <f t="shared" si="10"/>
        <v>3290651.6182479789</v>
      </c>
      <c r="X17" s="342">
        <f t="shared" si="3"/>
        <v>0</v>
      </c>
      <c r="Y17" s="239">
        <f t="shared" si="11"/>
        <v>549909.07999999996</v>
      </c>
      <c r="Z17" s="255">
        <f t="shared" si="12"/>
        <v>9.8779858640068163E-3</v>
      </c>
      <c r="AA17" s="240">
        <f t="shared" si="4"/>
        <v>16695.734569557011</v>
      </c>
      <c r="AB17" s="238">
        <f>ROUND($C17*Allocations!$B$16,2)</f>
        <v>571812.75</v>
      </c>
      <c r="AC17" s="241">
        <f>$C17*Allocations!$B$24</f>
        <v>0</v>
      </c>
      <c r="AD17" s="244">
        <f t="shared" si="5"/>
        <v>734189.99</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3">
        <v>240608.73688574985</v>
      </c>
      <c r="G18" s="240">
        <v>48674.28</v>
      </c>
      <c r="H18" s="429">
        <v>248596.88</v>
      </c>
      <c r="I18" s="390">
        <f>$C18*Allocations!$B$16</f>
        <v>258645.67635106834</v>
      </c>
      <c r="J18" s="237">
        <f t="shared" si="6"/>
        <v>1088387.351501073</v>
      </c>
      <c r="K18" s="165">
        <f t="shared" si="7"/>
        <v>272096.84000000003</v>
      </c>
      <c r="L18" s="815">
        <v>711389.12</v>
      </c>
      <c r="M18" s="427">
        <f t="shared" si="8"/>
        <v>970034.7963510683</v>
      </c>
      <c r="N18" s="239">
        <f t="shared" si="0"/>
        <v>722008.28</v>
      </c>
      <c r="O18" s="240">
        <f t="shared" si="1"/>
        <v>712008.28</v>
      </c>
      <c r="P18" s="319"/>
      <c r="Q18" s="320"/>
      <c r="R18" s="320"/>
      <c r="S18" s="321"/>
      <c r="T18" s="330">
        <f>'Project Final Cost Tracking'!C17</f>
        <v>0</v>
      </c>
      <c r="U18" s="341">
        <f t="shared" si="9"/>
        <v>258026.51635106828</v>
      </c>
      <c r="V18" s="340">
        <f t="shared" si="2"/>
        <v>0.94828927947516128</v>
      </c>
      <c r="W18" s="341">
        <f t="shared" si="10"/>
        <v>1421932.0599308759</v>
      </c>
      <c r="X18" s="342">
        <f t="shared" si="3"/>
        <v>0</v>
      </c>
      <c r="Y18" s="239">
        <f t="shared" si="11"/>
        <v>248596.88</v>
      </c>
      <c r="Z18" s="255">
        <f t="shared" si="12"/>
        <v>4.4655317684083326E-3</v>
      </c>
      <c r="AA18" s="240">
        <f t="shared" si="4"/>
        <v>7547.6250061192231</v>
      </c>
      <c r="AB18" s="238">
        <f>ROUND($C18*Allocations!$B$16,2)</f>
        <v>258645.68</v>
      </c>
      <c r="AC18" s="241">
        <f>$C18*Allocations!$B$24</f>
        <v>0</v>
      </c>
      <c r="AD18" s="244">
        <f t="shared" si="5"/>
        <v>265574.15000000002</v>
      </c>
      <c r="AE18" s="153"/>
      <c r="AF18" s="141"/>
      <c r="AG18" s="151"/>
      <c r="AH18" s="146"/>
      <c r="AI18" s="145"/>
      <c r="AJ18" s="146"/>
      <c r="AK18" s="151"/>
      <c r="AL18" s="146"/>
      <c r="AM18" s="145">
        <f>Carroll!C7+Carroll!C8+Carroll!C9</f>
        <v>722008.28</v>
      </c>
      <c r="AN18" s="146">
        <f>Carroll!D7+Carroll!D8+Carroll!D9</f>
        <v>712008.28</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1">
        <v>1083942.0967563614</v>
      </c>
      <c r="G19" s="343">
        <v>219277.59</v>
      </c>
      <c r="H19" s="430">
        <v>1077480.25</v>
      </c>
      <c r="I19" s="391">
        <f>$C19*Allocations!$B$16</f>
        <v>990401.73280112876</v>
      </c>
      <c r="J19" s="387">
        <f t="shared" si="6"/>
        <v>4689871.5393109163</v>
      </c>
      <c r="K19" s="168">
        <f t="shared" si="7"/>
        <v>1172467.8799999999</v>
      </c>
      <c r="L19" s="816">
        <v>841604</v>
      </c>
      <c r="M19" s="428">
        <f t="shared" si="8"/>
        <v>1832005.7328011286</v>
      </c>
      <c r="N19" s="305">
        <f>AE19+AG19+AI19+AK19+AM19+AO19+AQ19+AS19+AU19+AW19+AY19+BA19+BC19</f>
        <v>1902182.35</v>
      </c>
      <c r="O19" s="343">
        <f>AF19+AH19+AJ19+AL19+AN19+AP19+AR19+AT19+AV19+AX19+AZ19+BB19+BC19</f>
        <v>1902182.35</v>
      </c>
      <c r="P19" s="344"/>
      <c r="Q19" s="345"/>
      <c r="R19" s="345"/>
      <c r="S19" s="346"/>
      <c r="T19" s="188">
        <f>'Project Final Cost Tracking'!C18</f>
        <v>0</v>
      </c>
      <c r="U19" s="348">
        <f t="shared" si="9"/>
        <v>-70176.617198871449</v>
      </c>
      <c r="V19" s="347">
        <f t="shared" si="2"/>
        <v>-5.9853765204102183E-2</v>
      </c>
      <c r="W19" s="348">
        <f t="shared" si="10"/>
        <v>4386631.1804062082</v>
      </c>
      <c r="X19" s="349">
        <f t="shared" si="3"/>
        <v>0</v>
      </c>
      <c r="Y19" s="305">
        <f t="shared" si="11"/>
        <v>1077480.25</v>
      </c>
      <c r="Z19" s="350">
        <f t="shared" si="12"/>
        <v>1.935471710750172E-2</v>
      </c>
      <c r="AA19" s="343">
        <f t="shared" si="4"/>
        <v>32713.270088102443</v>
      </c>
      <c r="AB19" s="233">
        <f>ROUND($C19*Allocations!$B$16,2)</f>
        <v>990401.73</v>
      </c>
      <c r="AC19" s="242">
        <f>$C19*Allocations!$B$24</f>
        <v>0</v>
      </c>
      <c r="AD19" s="246">
        <f t="shared" si="5"/>
        <v>-37463.35</v>
      </c>
      <c r="AE19" s="162"/>
      <c r="AF19" s="159"/>
      <c r="AG19" s="174"/>
      <c r="AH19" s="157"/>
      <c r="AI19" s="156">
        <f>Cass!C13+Cass!C14</f>
        <v>1065076.25</v>
      </c>
      <c r="AJ19" s="157">
        <f>Cass!D13+Cass!D14</f>
        <v>1065076.25</v>
      </c>
      <c r="AK19" s="174"/>
      <c r="AL19" s="157"/>
      <c r="AM19" s="156"/>
      <c r="AN19" s="157"/>
      <c r="AO19" s="156"/>
      <c r="AP19" s="157"/>
      <c r="AQ19" s="156"/>
      <c r="AR19" s="157"/>
      <c r="AS19" s="156">
        <f>Cass!C15</f>
        <v>837106.1</v>
      </c>
      <c r="AT19" s="157">
        <f>Cass!D15</f>
        <v>837106.1</v>
      </c>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3">
        <v>1091800.2409413976</v>
      </c>
      <c r="G20" s="240">
        <v>220867.27</v>
      </c>
      <c r="H20" s="429">
        <v>1225393.17</v>
      </c>
      <c r="I20" s="390">
        <f>$C20*Allocations!$B$16</f>
        <v>1164486.3661860186</v>
      </c>
      <c r="J20" s="237">
        <f t="shared" si="6"/>
        <v>5055919.641357407</v>
      </c>
      <c r="K20" s="165">
        <f t="shared" si="7"/>
        <v>1263979.9099999999</v>
      </c>
      <c r="L20" s="815">
        <v>1286053.7</v>
      </c>
      <c r="M20" s="427">
        <f t="shared" si="8"/>
        <v>2450540.0661860183</v>
      </c>
      <c r="N20" s="239">
        <f t="shared" si="0"/>
        <v>677380.07</v>
      </c>
      <c r="O20" s="240">
        <f t="shared" si="1"/>
        <v>677380.07</v>
      </c>
      <c r="P20" s="319"/>
      <c r="Q20" s="320"/>
      <c r="R20" s="320"/>
      <c r="S20" s="321"/>
      <c r="T20" s="330">
        <f>'Project Final Cost Tracking'!C19</f>
        <v>0</v>
      </c>
      <c r="U20" s="341">
        <f t="shared" si="9"/>
        <v>1773159.9961860185</v>
      </c>
      <c r="V20" s="340">
        <f t="shared" si="2"/>
        <v>1.4028387493801373</v>
      </c>
      <c r="W20" s="341">
        <f t="shared" si="10"/>
        <v>7013348.6440231018</v>
      </c>
      <c r="X20" s="342">
        <f t="shared" si="3"/>
        <v>0</v>
      </c>
      <c r="Y20" s="239">
        <f t="shared" si="11"/>
        <v>1225393.17</v>
      </c>
      <c r="Z20" s="255">
        <f t="shared" si="12"/>
        <v>2.2011668567302984E-2</v>
      </c>
      <c r="AA20" s="240">
        <f t="shared" si="4"/>
        <v>37204.03945624621</v>
      </c>
      <c r="AB20" s="238">
        <f>ROUND($C20*Allocations!$B$16,2)</f>
        <v>1164486.3700000001</v>
      </c>
      <c r="AC20" s="241">
        <f>$C20*Allocations!$B$24</f>
        <v>0</v>
      </c>
      <c r="AD20" s="244">
        <f t="shared" si="5"/>
        <v>1810364.04</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3">
        <v>277728.87752350344</v>
      </c>
      <c r="G21" s="240">
        <v>56183.55</v>
      </c>
      <c r="H21" s="429">
        <v>251329.83</v>
      </c>
      <c r="I21" s="390">
        <f>$C21*Allocations!$B$16</f>
        <v>244047.32719718694</v>
      </c>
      <c r="J21" s="237">
        <f t="shared" si="6"/>
        <v>1188118.4809892736</v>
      </c>
      <c r="K21" s="165">
        <f t="shared" si="7"/>
        <v>297029.62</v>
      </c>
      <c r="L21" s="815">
        <v>714428.55</v>
      </c>
      <c r="M21" s="427">
        <f t="shared" si="8"/>
        <v>958475.87719718693</v>
      </c>
      <c r="N21" s="239">
        <f t="shared" si="0"/>
        <v>0</v>
      </c>
      <c r="O21" s="240">
        <f t="shared" si="1"/>
        <v>0</v>
      </c>
      <c r="P21" s="319"/>
      <c r="Q21" s="320"/>
      <c r="R21" s="320"/>
      <c r="S21" s="321"/>
      <c r="T21" s="330">
        <f>'Project Final Cost Tracking'!C20</f>
        <v>0</v>
      </c>
      <c r="U21" s="341">
        <f t="shared" si="9"/>
        <v>958475.87719718693</v>
      </c>
      <c r="V21" s="340">
        <f t="shared" si="2"/>
        <v>3.2268696879361287</v>
      </c>
      <c r="W21" s="341">
        <f t="shared" si="10"/>
        <v>2056688.8495845282</v>
      </c>
      <c r="X21" s="342">
        <f t="shared" si="3"/>
        <v>0</v>
      </c>
      <c r="Y21" s="239">
        <f t="shared" si="11"/>
        <v>251329.83</v>
      </c>
      <c r="Z21" s="255">
        <f t="shared" si="12"/>
        <v>4.5146235954918882E-3</v>
      </c>
      <c r="AA21" s="240">
        <f t="shared" si="4"/>
        <v>7630.5998276876735</v>
      </c>
      <c r="AB21" s="238">
        <f>ROUND($C21*Allocations!$B$16,2)</f>
        <v>244047.33</v>
      </c>
      <c r="AC21" s="241">
        <f>$C21*Allocations!$B$24</f>
        <v>0</v>
      </c>
      <c r="AD21" s="244">
        <f t="shared" si="5"/>
        <v>966106.48</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3">
        <v>631962.72609770345</v>
      </c>
      <c r="G22" s="240">
        <v>127843.79</v>
      </c>
      <c r="H22" s="429">
        <v>640833.61</v>
      </c>
      <c r="I22" s="390">
        <f>$C22*Allocations!$B$16</f>
        <v>379310.59300835151</v>
      </c>
      <c r="J22" s="237">
        <f t="shared" si="6"/>
        <v>2390219.2737764041</v>
      </c>
      <c r="K22" s="165">
        <f t="shared" si="7"/>
        <v>597554.81999999995</v>
      </c>
      <c r="L22" s="815">
        <v>1090452.2</v>
      </c>
      <c r="M22" s="427">
        <f t="shared" si="8"/>
        <v>1469762.7930083515</v>
      </c>
      <c r="N22" s="239">
        <f t="shared" si="0"/>
        <v>1491087.15</v>
      </c>
      <c r="O22" s="240">
        <f t="shared" si="1"/>
        <v>1491087.15</v>
      </c>
      <c r="P22" s="319"/>
      <c r="Q22" s="320"/>
      <c r="R22" s="320"/>
      <c r="S22" s="321"/>
      <c r="T22" s="330">
        <f>'Project Final Cost Tracking'!C21</f>
        <v>0</v>
      </c>
      <c r="U22" s="341">
        <f t="shared" si="9"/>
        <v>-21324.356991648441</v>
      </c>
      <c r="V22" s="340">
        <f t="shared" si="2"/>
        <v>-3.5686026248852691E-2</v>
      </c>
      <c r="W22" s="341">
        <f t="shared" si="10"/>
        <v>1685573.3115459334</v>
      </c>
      <c r="X22" s="342">
        <f t="shared" si="3"/>
        <v>0</v>
      </c>
      <c r="Y22" s="239">
        <f t="shared" si="11"/>
        <v>640833.61</v>
      </c>
      <c r="Z22" s="255">
        <f t="shared" si="12"/>
        <v>1.1511258080627543E-2</v>
      </c>
      <c r="AA22" s="240">
        <f t="shared" si="4"/>
        <v>19456.285129554537</v>
      </c>
      <c r="AB22" s="238">
        <f>ROUND($C22*Allocations!$B$16,2)</f>
        <v>379310.59</v>
      </c>
      <c r="AC22" s="241">
        <f>$C22*Allocations!$B$24</f>
        <v>0</v>
      </c>
      <c r="AD22" s="244">
        <f t="shared" si="5"/>
        <v>-1868.07</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3">
        <v>1105435.4006953507</v>
      </c>
      <c r="G23" s="240">
        <v>223625.61</v>
      </c>
      <c r="H23" s="429">
        <v>1063078.8799999999</v>
      </c>
      <c r="I23" s="390">
        <f>$C23*Allocations!$B$16</f>
        <v>1021016.4856720311</v>
      </c>
      <c r="J23" s="237">
        <f t="shared" si="6"/>
        <v>4508191.4670984279</v>
      </c>
      <c r="K23" s="165">
        <f t="shared" si="7"/>
        <v>1127047.8700000001</v>
      </c>
      <c r="L23" s="815">
        <v>115012.77</v>
      </c>
      <c r="M23" s="427">
        <f t="shared" si="8"/>
        <v>1136029.2556720311</v>
      </c>
      <c r="N23" s="239">
        <f t="shared" si="0"/>
        <v>2062252.33</v>
      </c>
      <c r="O23" s="240">
        <f t="shared" si="1"/>
        <v>2062252.33</v>
      </c>
      <c r="P23" s="319"/>
      <c r="Q23" s="320"/>
      <c r="R23" s="320"/>
      <c r="S23" s="321"/>
      <c r="T23" s="330">
        <f>'Project Final Cost Tracking'!C22</f>
        <v>-34527.54999999993</v>
      </c>
      <c r="U23" s="341">
        <f t="shared" si="9"/>
        <v>-891695.52432796906</v>
      </c>
      <c r="V23" s="340">
        <f t="shared" si="2"/>
        <v>-0.7911780396053355</v>
      </c>
      <c r="W23" s="341">
        <f t="shared" si="10"/>
        <v>3702878.6611961704</v>
      </c>
      <c r="X23" s="342">
        <f t="shared" si="3"/>
        <v>0</v>
      </c>
      <c r="Y23" s="239">
        <f t="shared" si="11"/>
        <v>1063078.8799999999</v>
      </c>
      <c r="Z23" s="255">
        <f t="shared" si="12"/>
        <v>1.9096026108469055E-2</v>
      </c>
      <c r="AA23" s="240">
        <f t="shared" si="4"/>
        <v>32276.031534125512</v>
      </c>
      <c r="AB23" s="238">
        <f>ROUND($C23*Allocations!$B$16,2)</f>
        <v>1021016.49</v>
      </c>
      <c r="AC23" s="241">
        <f>$C23*Allocations!$B$24</f>
        <v>0</v>
      </c>
      <c r="AD23" s="244">
        <f t="shared" si="5"/>
        <v>-859419.49</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1">
        <v>320213.83594471309</v>
      </c>
      <c r="G24" s="343">
        <v>64778.11</v>
      </c>
      <c r="H24" s="430">
        <v>332281.53999999998</v>
      </c>
      <c r="I24" s="391">
        <f>$C24*Allocations!$B$16</f>
        <v>341300.26166423626</v>
      </c>
      <c r="J24" s="387">
        <f t="shared" si="6"/>
        <v>1492575.1274895926</v>
      </c>
      <c r="K24" s="168">
        <f t="shared" si="7"/>
        <v>373143.78</v>
      </c>
      <c r="L24" s="816">
        <v>-714602.64</v>
      </c>
      <c r="M24" s="428">
        <f t="shared" si="8"/>
        <v>-373302.37833576376</v>
      </c>
      <c r="N24" s="305">
        <f t="shared" si="0"/>
        <v>634293.1</v>
      </c>
      <c r="O24" s="343">
        <f t="shared" si="1"/>
        <v>634293.1</v>
      </c>
      <c r="P24" s="344"/>
      <c r="Q24" s="345"/>
      <c r="R24" s="345"/>
      <c r="S24" s="346"/>
      <c r="T24" s="188">
        <f>'Project Final Cost Tracking'!C23</f>
        <v>0</v>
      </c>
      <c r="U24" s="348">
        <f t="shared" si="9"/>
        <v>-1007595.4783357638</v>
      </c>
      <c r="V24" s="347">
        <f t="shared" si="2"/>
        <v>-2.700287482577798</v>
      </c>
      <c r="W24" s="348">
        <f t="shared" si="10"/>
        <v>528255.69915329944</v>
      </c>
      <c r="X24" s="349">
        <f t="shared" si="3"/>
        <v>0</v>
      </c>
      <c r="Y24" s="305">
        <f t="shared" si="11"/>
        <v>332281.53999999998</v>
      </c>
      <c r="Z24" s="350">
        <f t="shared" si="12"/>
        <v>5.9687546075624272E-3</v>
      </c>
      <c r="AA24" s="343">
        <f t="shared" si="4"/>
        <v>10088.366597263024</v>
      </c>
      <c r="AB24" s="233">
        <f>ROUND($C24*Allocations!$B$16,2)</f>
        <v>341300.26</v>
      </c>
      <c r="AC24" s="242">
        <f>$C24*Allocations!$B$24</f>
        <v>0</v>
      </c>
      <c r="AD24" s="246">
        <f t="shared" si="5"/>
        <v>-997507.11</v>
      </c>
      <c r="AE24" s="162"/>
      <c r="AF24" s="159"/>
      <c r="AG24" s="174"/>
      <c r="AH24" s="157"/>
      <c r="AI24" s="156"/>
      <c r="AJ24" s="157"/>
      <c r="AK24" s="174"/>
      <c r="AL24" s="157"/>
      <c r="AM24" s="156"/>
      <c r="AN24" s="157"/>
      <c r="AO24" s="156"/>
      <c r="AP24" s="157"/>
      <c r="AQ24" s="156"/>
      <c r="AR24" s="157"/>
      <c r="AS24" s="156"/>
      <c r="AT24" s="157"/>
      <c r="AU24" s="156"/>
      <c r="AV24" s="157"/>
      <c r="AW24" s="158"/>
      <c r="AX24" s="159"/>
      <c r="AY24" s="156">
        <f>Clarke!C12</f>
        <v>634293.1</v>
      </c>
      <c r="AZ24" s="157">
        <f>Clarke!D12</f>
        <v>634293.1</v>
      </c>
      <c r="BA24" s="160"/>
      <c r="BB24" s="161"/>
      <c r="BC24" s="180"/>
      <c r="BD24" s="176"/>
    </row>
    <row r="25" spans="1:56" s="30" customFormat="1" ht="12.75">
      <c r="A25" s="97" t="s">
        <v>22</v>
      </c>
      <c r="B25" s="47">
        <v>21</v>
      </c>
      <c r="C25" s="247">
        <v>8.7796193159841596E-3</v>
      </c>
      <c r="D25" s="239">
        <v>492063.58162225125</v>
      </c>
      <c r="E25" s="240">
        <v>101427.18327479294</v>
      </c>
      <c r="F25" s="603">
        <v>539937.90327052074</v>
      </c>
      <c r="G25" s="240">
        <v>109227.5</v>
      </c>
      <c r="H25" s="429">
        <v>499473.76</v>
      </c>
      <c r="I25" s="390">
        <f>$C25*Allocations!$B$16</f>
        <v>505245.41475479724</v>
      </c>
      <c r="J25" s="237">
        <f t="shared" si="6"/>
        <v>2247375.3429223625</v>
      </c>
      <c r="K25" s="165">
        <f t="shared" si="7"/>
        <v>561843.84</v>
      </c>
      <c r="L25" s="815">
        <v>1486571</v>
      </c>
      <c r="M25" s="427">
        <f t="shared" si="8"/>
        <v>1991816.4147547972</v>
      </c>
      <c r="N25" s="239">
        <f t="shared" si="0"/>
        <v>0</v>
      </c>
      <c r="O25" s="240">
        <f t="shared" si="1"/>
        <v>0</v>
      </c>
      <c r="P25" s="319"/>
      <c r="Q25" s="320"/>
      <c r="R25" s="320"/>
      <c r="S25" s="321"/>
      <c r="T25" s="330">
        <f>'Project Final Cost Tracking'!C24</f>
        <v>0</v>
      </c>
      <c r="U25" s="341">
        <f t="shared" si="9"/>
        <v>1991816.4147547972</v>
      </c>
      <c r="V25" s="340">
        <f t="shared" si="2"/>
        <v>3.5451423917983997</v>
      </c>
      <c r="W25" s="341">
        <f t="shared" si="10"/>
        <v>4265420.7811513841</v>
      </c>
      <c r="X25" s="342">
        <f t="shared" si="3"/>
        <v>0</v>
      </c>
      <c r="Y25" s="239">
        <f t="shared" si="11"/>
        <v>499473.76</v>
      </c>
      <c r="Z25" s="255">
        <f t="shared" si="12"/>
        <v>8.9720190485349568E-3</v>
      </c>
      <c r="AA25" s="240">
        <f t="shared" si="4"/>
        <v>15164.47286416624</v>
      </c>
      <c r="AB25" s="238">
        <f>ROUND($C25*Allocations!$B$16,2)</f>
        <v>505245.41</v>
      </c>
      <c r="AC25" s="241">
        <f>$C25*Allocations!$B$24</f>
        <v>0</v>
      </c>
      <c r="AD25" s="244">
        <f t="shared" si="5"/>
        <v>2006980.88</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3">
        <v>345031.4415975986</v>
      </c>
      <c r="G26" s="240">
        <v>69798.62</v>
      </c>
      <c r="H26" s="429">
        <v>316907.18</v>
      </c>
      <c r="I26" s="390">
        <f>$C26*Allocations!$B$16</f>
        <v>314364.12510175182</v>
      </c>
      <c r="J26" s="237">
        <f t="shared" si="6"/>
        <v>1512442.8802574107</v>
      </c>
      <c r="K26" s="165">
        <f t="shared" si="7"/>
        <v>378110.71999999997</v>
      </c>
      <c r="L26" s="815">
        <v>947621.34</v>
      </c>
      <c r="M26" s="427">
        <f t="shared" si="8"/>
        <v>1261985.4651017517</v>
      </c>
      <c r="N26" s="239">
        <f t="shared" si="0"/>
        <v>342999.76</v>
      </c>
      <c r="O26" s="240">
        <f t="shared" si="1"/>
        <v>342999.76</v>
      </c>
      <c r="P26" s="319"/>
      <c r="Q26" s="320"/>
      <c r="R26" s="320"/>
      <c r="S26" s="321"/>
      <c r="T26" s="330">
        <f>'Project Final Cost Tracking'!C25</f>
        <v>0</v>
      </c>
      <c r="U26" s="341">
        <f t="shared" si="9"/>
        <v>918985.70510175172</v>
      </c>
      <c r="V26" s="340">
        <f t="shared" si="2"/>
        <v>2.4304672057479668</v>
      </c>
      <c r="W26" s="341">
        <f t="shared" si="10"/>
        <v>2333624.2680596346</v>
      </c>
      <c r="X26" s="342">
        <f t="shared" si="3"/>
        <v>0</v>
      </c>
      <c r="Y26" s="239">
        <f t="shared" si="11"/>
        <v>316907.18</v>
      </c>
      <c r="Z26" s="255">
        <f t="shared" si="12"/>
        <v>5.6925858439039849E-3</v>
      </c>
      <c r="AA26" s="240">
        <f t="shared" si="4"/>
        <v>9621.5871912259136</v>
      </c>
      <c r="AB26" s="238">
        <f>ROUND($C26*Allocations!$B$16,2)</f>
        <v>314364.13</v>
      </c>
      <c r="AC26" s="241">
        <f>$C26*Allocations!$B$24</f>
        <v>0</v>
      </c>
      <c r="AD26" s="244">
        <f t="shared" si="5"/>
        <v>928607.3</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3">
        <v>389713.11084326735</v>
      </c>
      <c r="G27" s="240">
        <v>78837.56</v>
      </c>
      <c r="H27" s="429">
        <v>395625.1</v>
      </c>
      <c r="I27" s="390">
        <f>$C27*Allocations!$B$16</f>
        <v>393804.76910767145</v>
      </c>
      <c r="J27" s="237">
        <f t="shared" si="6"/>
        <v>1743395.6544228038</v>
      </c>
      <c r="K27" s="165">
        <f t="shared" si="7"/>
        <v>435848.91</v>
      </c>
      <c r="L27" s="815">
        <v>533936.25</v>
      </c>
      <c r="M27" s="427">
        <f t="shared" si="8"/>
        <v>927741.01910767145</v>
      </c>
      <c r="N27" s="239">
        <f t="shared" si="0"/>
        <v>2553178</v>
      </c>
      <c r="O27" s="240">
        <f t="shared" si="1"/>
        <v>2553178</v>
      </c>
      <c r="P27" s="319"/>
      <c r="Q27" s="320"/>
      <c r="R27" s="320"/>
      <c r="S27" s="321"/>
      <c r="T27" s="330">
        <f>'Project Final Cost Tracking'!C26</f>
        <v>0</v>
      </c>
      <c r="U27" s="341">
        <f t="shared" si="9"/>
        <v>-1625436.9808923285</v>
      </c>
      <c r="V27" s="340">
        <f t="shared" si="2"/>
        <v>-3.7293588296282043</v>
      </c>
      <c r="W27" s="341">
        <f t="shared" si="10"/>
        <v>146684.480092193</v>
      </c>
      <c r="X27" s="342">
        <f t="shared" si="3"/>
        <v>0</v>
      </c>
      <c r="Y27" s="239">
        <f t="shared" si="11"/>
        <v>395625.1</v>
      </c>
      <c r="Z27" s="255">
        <f t="shared" si="12"/>
        <v>7.1065914118862757E-3</v>
      </c>
      <c r="AA27" s="240">
        <f t="shared" si="4"/>
        <v>12011.534086061007</v>
      </c>
      <c r="AB27" s="238">
        <f>ROUND($C27*Allocations!$B$16,2)</f>
        <v>393804.77</v>
      </c>
      <c r="AC27" s="241">
        <f>$C27*Allocations!$B$24</f>
        <v>0</v>
      </c>
      <c r="AD27" s="244">
        <f t="shared" si="5"/>
        <v>-1613425.45</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3">
        <v>451157.07248440007</v>
      </c>
      <c r="G28" s="240">
        <v>91267.46</v>
      </c>
      <c r="H28" s="429">
        <v>490407.88</v>
      </c>
      <c r="I28" s="390">
        <f>$C28*Allocations!$B$16</f>
        <v>461773.73018275615</v>
      </c>
      <c r="J28" s="237">
        <f t="shared" si="6"/>
        <v>2088650.5463144714</v>
      </c>
      <c r="K28" s="165">
        <f t="shared" si="7"/>
        <v>522162.64</v>
      </c>
      <c r="L28" s="815">
        <v>-1957187.15</v>
      </c>
      <c r="M28" s="427">
        <f t="shared" si="8"/>
        <v>-1495413.4198172437</v>
      </c>
      <c r="N28" s="239">
        <f t="shared" si="0"/>
        <v>0</v>
      </c>
      <c r="O28" s="240">
        <f t="shared" si="1"/>
        <v>0</v>
      </c>
      <c r="P28" s="319"/>
      <c r="Q28" s="320"/>
      <c r="R28" s="320"/>
      <c r="S28" s="321"/>
      <c r="T28" s="330">
        <f>'Project Final Cost Tracking'!C27</f>
        <v>-48340.760000000009</v>
      </c>
      <c r="U28" s="341">
        <f t="shared" si="9"/>
        <v>-1447072.6598172437</v>
      </c>
      <c r="V28" s="340">
        <f t="shared" si="2"/>
        <v>-2.7713063880197244</v>
      </c>
      <c r="W28" s="341">
        <f t="shared" si="10"/>
        <v>630909.12600515899</v>
      </c>
      <c r="X28" s="342">
        <f t="shared" si="3"/>
        <v>0</v>
      </c>
      <c r="Y28" s="239">
        <f t="shared" si="11"/>
        <v>490407.88</v>
      </c>
      <c r="Z28" s="255">
        <f t="shared" si="12"/>
        <v>8.8091691561767837E-3</v>
      </c>
      <c r="AA28" s="240">
        <f t="shared" si="4"/>
        <v>14889.224588361347</v>
      </c>
      <c r="AB28" s="238">
        <f>ROUND($C28*Allocations!$B$16,2)</f>
        <v>461773.73</v>
      </c>
      <c r="AC28" s="241">
        <f>$C28*Allocations!$B$24</f>
        <v>0</v>
      </c>
      <c r="AD28" s="244">
        <f t="shared" si="5"/>
        <v>-1432183.44</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1">
        <v>380524.10360093351</v>
      </c>
      <c r="G29" s="343">
        <v>76978.66</v>
      </c>
      <c r="H29" s="430">
        <v>366335.89</v>
      </c>
      <c r="I29" s="391">
        <f>$C29*Allocations!$B$16</f>
        <v>363370.48808598536</v>
      </c>
      <c r="J29" s="387">
        <f t="shared" si="6"/>
        <v>1659370.207661788</v>
      </c>
      <c r="K29" s="168">
        <f t="shared" si="7"/>
        <v>414842.55</v>
      </c>
      <c r="L29" s="816">
        <v>723373.29</v>
      </c>
      <c r="M29" s="428">
        <f t="shared" si="8"/>
        <v>1086743.7780859855</v>
      </c>
      <c r="N29" s="305">
        <f t="shared" si="0"/>
        <v>0</v>
      </c>
      <c r="O29" s="343">
        <f t="shared" si="1"/>
        <v>0</v>
      </c>
      <c r="P29" s="344"/>
      <c r="Q29" s="345"/>
      <c r="R29" s="345"/>
      <c r="S29" s="346"/>
      <c r="T29" s="188">
        <f>'Project Final Cost Tracking'!C28</f>
        <v>0</v>
      </c>
      <c r="U29" s="348">
        <f t="shared" si="9"/>
        <v>1086743.7780859855</v>
      </c>
      <c r="V29" s="347">
        <f t="shared" si="2"/>
        <v>2.6196535964933818</v>
      </c>
      <c r="W29" s="348">
        <f t="shared" si="10"/>
        <v>2721910.9744729195</v>
      </c>
      <c r="X29" s="349">
        <f t="shared" si="3"/>
        <v>0</v>
      </c>
      <c r="Y29" s="305">
        <f t="shared" si="11"/>
        <v>366335.89</v>
      </c>
      <c r="Z29" s="350">
        <f t="shared" si="12"/>
        <v>6.5804709805816564E-3</v>
      </c>
      <c r="AA29" s="343">
        <f t="shared" si="4"/>
        <v>11122.287311099564</v>
      </c>
      <c r="AB29" s="233">
        <f>ROUND($C29*Allocations!$B$16,2)</f>
        <v>363370.49</v>
      </c>
      <c r="AC29" s="242">
        <f>$C29*Allocations!$B$24</f>
        <v>0</v>
      </c>
      <c r="AD29" s="246">
        <f t="shared" si="5"/>
        <v>1097866.07</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3">
        <v>696437.81193386612</v>
      </c>
      <c r="G30" s="240">
        <v>140886.87</v>
      </c>
      <c r="H30" s="429">
        <v>759186.2</v>
      </c>
      <c r="I30" s="390">
        <f>$C30*Allocations!$B$16</f>
        <v>748966.17522533878</v>
      </c>
      <c r="J30" s="237">
        <f t="shared" si="6"/>
        <v>3206393.9272827953</v>
      </c>
      <c r="K30" s="165">
        <f t="shared" si="7"/>
        <v>801598.48</v>
      </c>
      <c r="L30" s="815">
        <v>578587.06999999995</v>
      </c>
      <c r="M30" s="427">
        <f t="shared" si="8"/>
        <v>1327553.2452253387</v>
      </c>
      <c r="N30" s="239">
        <f t="shared" si="0"/>
        <v>0</v>
      </c>
      <c r="O30" s="240">
        <f t="shared" si="1"/>
        <v>0</v>
      </c>
      <c r="P30" s="319"/>
      <c r="Q30" s="320"/>
      <c r="R30" s="320"/>
      <c r="S30" s="321"/>
      <c r="T30" s="330">
        <f>'Project Final Cost Tracking'!C29</f>
        <v>0</v>
      </c>
      <c r="U30" s="341">
        <f t="shared" si="9"/>
        <v>1327553.2452253387</v>
      </c>
      <c r="V30" s="340">
        <f t="shared" si="2"/>
        <v>1.6561324383066929</v>
      </c>
      <c r="W30" s="341">
        <f t="shared" si="10"/>
        <v>4697901.0337393638</v>
      </c>
      <c r="X30" s="342">
        <f t="shared" si="3"/>
        <v>0</v>
      </c>
      <c r="Y30" s="239">
        <f t="shared" si="11"/>
        <v>759186.2</v>
      </c>
      <c r="Z30" s="255">
        <f t="shared" si="12"/>
        <v>1.3637218995818457E-2</v>
      </c>
      <c r="AA30" s="240">
        <f t="shared" si="4"/>
        <v>23049.576275537445</v>
      </c>
      <c r="AB30" s="238">
        <f>ROUND($C30*Allocations!$B$16,2)</f>
        <v>748966.18</v>
      </c>
      <c r="AC30" s="241">
        <f>$C30*Allocations!$B$24</f>
        <v>0</v>
      </c>
      <c r="AD30" s="244">
        <f t="shared" si="5"/>
        <v>1350602.83</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3">
        <v>938979.74253536842</v>
      </c>
      <c r="G31" s="240">
        <v>189952.23</v>
      </c>
      <c r="H31" s="429">
        <v>899523.49</v>
      </c>
      <c r="I31" s="390">
        <f>$C31*Allocations!$B$16</f>
        <v>893470.3151916035</v>
      </c>
      <c r="J31" s="237">
        <f t="shared" si="6"/>
        <v>3844962.2967018206</v>
      </c>
      <c r="K31" s="165">
        <f t="shared" si="7"/>
        <v>961240.57</v>
      </c>
      <c r="L31" s="815">
        <v>2491604.02</v>
      </c>
      <c r="M31" s="427">
        <f t="shared" si="8"/>
        <v>3385074.3351916037</v>
      </c>
      <c r="N31" s="239">
        <f t="shared" si="0"/>
        <v>1599950.58</v>
      </c>
      <c r="O31" s="240">
        <f t="shared" si="1"/>
        <v>319990.11600000004</v>
      </c>
      <c r="P31" s="319"/>
      <c r="Q31" s="320"/>
      <c r="R31" s="320"/>
      <c r="S31" s="321"/>
      <c r="T31" s="330">
        <f>'Project Final Cost Tracking'!C30</f>
        <v>0</v>
      </c>
      <c r="U31" s="341">
        <f t="shared" si="9"/>
        <v>3065084.2191916038</v>
      </c>
      <c r="V31" s="340">
        <f t="shared" si="2"/>
        <v>3.1886754625760374</v>
      </c>
      <c r="W31" s="341">
        <f t="shared" si="10"/>
        <v>7085700.6375538195</v>
      </c>
      <c r="X31" s="342">
        <f t="shared" si="3"/>
        <v>0</v>
      </c>
      <c r="Y31" s="239">
        <f t="shared" si="11"/>
        <v>899523.49</v>
      </c>
      <c r="Z31" s="255">
        <f t="shared" si="12"/>
        <v>1.6158089840164265E-2</v>
      </c>
      <c r="AA31" s="240">
        <f t="shared" si="4"/>
        <v>27310.342699054127</v>
      </c>
      <c r="AB31" s="238">
        <f>ROUND($C31*Allocations!$B$16,2)</f>
        <v>893470.32</v>
      </c>
      <c r="AC31" s="241">
        <f>$C31*Allocations!$B$24</f>
        <v>0</v>
      </c>
      <c r="AD31" s="244">
        <f t="shared" si="5"/>
        <v>3092394.57</v>
      </c>
      <c r="AE31" s="153"/>
      <c r="AF31" s="141"/>
      <c r="AG31" s="151"/>
      <c r="AH31" s="146"/>
      <c r="AI31" s="145"/>
      <c r="AJ31" s="165"/>
      <c r="AK31" s="151"/>
      <c r="AL31" s="146"/>
      <c r="AM31" s="145"/>
      <c r="AN31" s="146"/>
      <c r="AO31" s="145"/>
      <c r="AP31" s="146"/>
      <c r="AQ31" s="145"/>
      <c r="AR31" s="146"/>
      <c r="AS31" s="145"/>
      <c r="AT31" s="146"/>
      <c r="AU31" s="145"/>
      <c r="AV31" s="146"/>
      <c r="AW31" s="148"/>
      <c r="AX31" s="141"/>
      <c r="AY31" s="145">
        <f>Decatur!C10</f>
        <v>1599950.58</v>
      </c>
      <c r="AZ31" s="146">
        <f>Decatur!D10</f>
        <v>319990.11600000004</v>
      </c>
      <c r="BA31" s="149"/>
      <c r="BB31" s="150"/>
      <c r="BC31" s="179"/>
      <c r="BD31" s="176"/>
    </row>
    <row r="32" spans="1:56" s="30" customFormat="1" ht="12.75">
      <c r="A32" s="97" t="s">
        <v>29</v>
      </c>
      <c r="B32" s="47">
        <v>28</v>
      </c>
      <c r="C32" s="247">
        <v>5.3566297208579227E-3</v>
      </c>
      <c r="D32" s="239">
        <v>320493.22923441563</v>
      </c>
      <c r="E32" s="240">
        <v>66062.043024440194</v>
      </c>
      <c r="F32" s="603">
        <v>316892.73334399785</v>
      </c>
      <c r="G32" s="240">
        <v>64106.26</v>
      </c>
      <c r="H32" s="429">
        <v>283071.94</v>
      </c>
      <c r="I32" s="390">
        <f>$C32*Allocations!$B$16</f>
        <v>308260.81491659267</v>
      </c>
      <c r="J32" s="237">
        <f t="shared" si="6"/>
        <v>1358887.0205194461</v>
      </c>
      <c r="K32" s="165">
        <f t="shared" si="7"/>
        <v>339721.76</v>
      </c>
      <c r="L32" s="815">
        <v>-804092.04</v>
      </c>
      <c r="M32" s="427">
        <f t="shared" si="8"/>
        <v>-495831.22508340736</v>
      </c>
      <c r="N32" s="239">
        <f t="shared" si="0"/>
        <v>102951</v>
      </c>
      <c r="O32" s="240">
        <f t="shared" si="1"/>
        <v>102951</v>
      </c>
      <c r="P32" s="319"/>
      <c r="Q32" s="320"/>
      <c r="R32" s="320"/>
      <c r="S32" s="321"/>
      <c r="T32" s="330">
        <f>'Project Final Cost Tracking'!C31</f>
        <v>0</v>
      </c>
      <c r="U32" s="341">
        <f t="shared" si="9"/>
        <v>-598782.22508340736</v>
      </c>
      <c r="V32" s="340">
        <f t="shared" si="2"/>
        <v>-1.7625665929771686</v>
      </c>
      <c r="W32" s="341">
        <f t="shared" si="10"/>
        <v>788391.44204125961</v>
      </c>
      <c r="X32" s="342">
        <f t="shared" si="3"/>
        <v>0</v>
      </c>
      <c r="Y32" s="239">
        <f t="shared" si="11"/>
        <v>283071.94</v>
      </c>
      <c r="Z32" s="255">
        <f t="shared" si="12"/>
        <v>5.0848053314867725E-3</v>
      </c>
      <c r="AA32" s="240">
        <f t="shared" si="4"/>
        <v>8594.3188541814379</v>
      </c>
      <c r="AB32" s="238">
        <f>ROUND($C32*Allocations!$B$16,2)</f>
        <v>308260.81</v>
      </c>
      <c r="AC32" s="241">
        <f>$C32*Allocations!$B$24</f>
        <v>0</v>
      </c>
      <c r="AD32" s="244">
        <f t="shared" si="5"/>
        <v>-590187.91</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3">
        <v>475206.28891101276</v>
      </c>
      <c r="G33" s="240">
        <v>96132.53</v>
      </c>
      <c r="H33" s="429">
        <v>477064.31</v>
      </c>
      <c r="I33" s="390">
        <f>$C33*Allocations!$B$16</f>
        <v>462556.00785623427</v>
      </c>
      <c r="J33" s="237">
        <f t="shared" si="6"/>
        <v>2117206.555806201</v>
      </c>
      <c r="K33" s="165">
        <f t="shared" si="7"/>
        <v>529301.64</v>
      </c>
      <c r="L33" s="815">
        <v>621470.18000000005</v>
      </c>
      <c r="M33" s="427">
        <f t="shared" si="8"/>
        <v>1084026.1878562344</v>
      </c>
      <c r="N33" s="239">
        <f t="shared" si="0"/>
        <v>2254835.9500000002</v>
      </c>
      <c r="O33" s="240">
        <f t="shared" si="1"/>
        <v>2254835.9500000002</v>
      </c>
      <c r="P33" s="319"/>
      <c r="Q33" s="320"/>
      <c r="R33" s="320"/>
      <c r="S33" s="321"/>
      <c r="T33" s="330">
        <f>'Project Final Cost Tracking'!C32</f>
        <v>0</v>
      </c>
      <c r="U33" s="341">
        <f t="shared" si="9"/>
        <v>-1170809.7621437658</v>
      </c>
      <c r="V33" s="340">
        <f t="shared" si="2"/>
        <v>-2.2119896740614022</v>
      </c>
      <c r="W33" s="341">
        <f t="shared" si="10"/>
        <v>910692.27320928848</v>
      </c>
      <c r="X33" s="342">
        <f t="shared" si="3"/>
        <v>0</v>
      </c>
      <c r="Y33" s="239">
        <f t="shared" si="11"/>
        <v>477064.31</v>
      </c>
      <c r="Z33" s="255">
        <f t="shared" si="12"/>
        <v>8.569479359028161E-3</v>
      </c>
      <c r="AA33" s="240">
        <f t="shared" si="4"/>
        <v>14484.101794370921</v>
      </c>
      <c r="AB33" s="238">
        <f>ROUND($C33*Allocations!$B$16,2)</f>
        <v>462556.01</v>
      </c>
      <c r="AC33" s="241">
        <f>$C33*Allocations!$B$24</f>
        <v>0</v>
      </c>
      <c r="AD33" s="244">
        <f t="shared" si="5"/>
        <v>-1156325.6599999999</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1">
        <v>288501.29835852166</v>
      </c>
      <c r="G34" s="343">
        <v>58362.78</v>
      </c>
      <c r="H34" s="430">
        <v>309243.49</v>
      </c>
      <c r="I34" s="391">
        <f>$C34*Allocations!$B$16</f>
        <v>274678.98507811286</v>
      </c>
      <c r="J34" s="387">
        <f t="shared" si="6"/>
        <v>1285189.7272955116</v>
      </c>
      <c r="K34" s="168">
        <f t="shared" si="7"/>
        <v>321297.43</v>
      </c>
      <c r="L34" s="816">
        <v>556839.46</v>
      </c>
      <c r="M34" s="428">
        <f t="shared" si="8"/>
        <v>831518.44507811288</v>
      </c>
      <c r="N34" s="305">
        <f t="shared" si="0"/>
        <v>617146.63</v>
      </c>
      <c r="O34" s="343">
        <f t="shared" si="1"/>
        <v>617146.63</v>
      </c>
      <c r="P34" s="344"/>
      <c r="Q34" s="345"/>
      <c r="R34" s="345"/>
      <c r="S34" s="346"/>
      <c r="T34" s="188">
        <f>'Project Final Cost Tracking'!C33</f>
        <v>0</v>
      </c>
      <c r="U34" s="348">
        <f t="shared" si="9"/>
        <v>214371.81507811288</v>
      </c>
      <c r="V34" s="347">
        <f t="shared" si="2"/>
        <v>0.66720675318851097</v>
      </c>
      <c r="W34" s="348">
        <f t="shared" si="10"/>
        <v>1450427.2479296206</v>
      </c>
      <c r="X34" s="349">
        <f t="shared" si="3"/>
        <v>0</v>
      </c>
      <c r="Y34" s="305">
        <f t="shared" si="11"/>
        <v>309243.49</v>
      </c>
      <c r="Z34" s="350">
        <f t="shared" si="12"/>
        <v>5.5549234116231243E-3</v>
      </c>
      <c r="AA34" s="343">
        <f t="shared" si="4"/>
        <v>9388.910665747615</v>
      </c>
      <c r="AB34" s="233">
        <f>ROUND($C34*Allocations!$B$16,2)</f>
        <v>274678.99</v>
      </c>
      <c r="AC34" s="242">
        <f>$C34*Allocations!$B$24</f>
        <v>0</v>
      </c>
      <c r="AD34" s="246">
        <f t="shared" si="5"/>
        <v>223760.73</v>
      </c>
      <c r="AE34" s="162"/>
      <c r="AF34" s="159"/>
      <c r="AG34" s="174"/>
      <c r="AH34" s="157"/>
      <c r="AI34" s="156"/>
      <c r="AJ34" s="157"/>
      <c r="AK34" s="174"/>
      <c r="AL34" s="157"/>
      <c r="AM34" s="156"/>
      <c r="AN34" s="157"/>
      <c r="AO34" s="156"/>
      <c r="AP34" s="157"/>
      <c r="AQ34" s="156">
        <f>Dickinson!C6+Dickinson!C7</f>
        <v>617146.63</v>
      </c>
      <c r="AR34" s="157">
        <f>Dickinson!D6+Dickinson!D7</f>
        <v>617146.63</v>
      </c>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3">
        <v>482932.90134003235</v>
      </c>
      <c r="G35" s="240">
        <v>97695.59</v>
      </c>
      <c r="H35" s="429">
        <v>475922.37</v>
      </c>
      <c r="I35" s="390">
        <f>$C35*Allocations!$B$16</f>
        <v>476363.24014696927</v>
      </c>
      <c r="J35" s="237">
        <f t="shared" si="6"/>
        <v>2186556.6698756181</v>
      </c>
      <c r="K35" s="165">
        <f t="shared" si="7"/>
        <v>546639.17000000004</v>
      </c>
      <c r="L35" s="815">
        <v>-2021220.09</v>
      </c>
      <c r="M35" s="427">
        <f t="shared" si="8"/>
        <v>-1544856.8498530309</v>
      </c>
      <c r="N35" s="239">
        <f t="shared" si="0"/>
        <v>0</v>
      </c>
      <c r="O35" s="240">
        <f t="shared" si="1"/>
        <v>0</v>
      </c>
      <c r="P35" s="319"/>
      <c r="Q35" s="320"/>
      <c r="R35" s="320"/>
      <c r="S35" s="321"/>
      <c r="T35" s="330">
        <f>'Project Final Cost Tracking'!C34</f>
        <v>-21794.150000000023</v>
      </c>
      <c r="U35" s="341">
        <f t="shared" si="9"/>
        <v>-1523062.699853031</v>
      </c>
      <c r="V35" s="340">
        <f t="shared" si="2"/>
        <v>-2.7862304486029257</v>
      </c>
      <c r="W35" s="341">
        <f t="shared" si="10"/>
        <v>620571.88080833061</v>
      </c>
      <c r="X35" s="342">
        <f t="shared" si="3"/>
        <v>0</v>
      </c>
      <c r="Y35" s="239">
        <f t="shared" si="11"/>
        <v>475922.37</v>
      </c>
      <c r="Z35" s="255">
        <f t="shared" si="12"/>
        <v>8.5489667550581669E-3</v>
      </c>
      <c r="AA35" s="240">
        <f t="shared" si="4"/>
        <v>14449.431468261086</v>
      </c>
      <c r="AB35" s="238">
        <f>ROUND($C35*Allocations!$B$16,2)</f>
        <v>476363.24</v>
      </c>
      <c r="AC35" s="241">
        <f>$C35*Allocations!$B$24</f>
        <v>0</v>
      </c>
      <c r="AD35" s="244">
        <f t="shared" si="5"/>
        <v>-1508613.27</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3">
        <v>155436.26826330239</v>
      </c>
      <c r="G36" s="240">
        <v>31444.2</v>
      </c>
      <c r="H36" s="429">
        <v>156612.17000000001</v>
      </c>
      <c r="I36" s="390">
        <f>$C36*Allocations!$B$16</f>
        <v>159461.74952499405</v>
      </c>
      <c r="J36" s="237">
        <f t="shared" si="6"/>
        <v>693326.99813020579</v>
      </c>
      <c r="K36" s="165">
        <f t="shared" si="7"/>
        <v>173331.75</v>
      </c>
      <c r="L36" s="815">
        <v>317348.38</v>
      </c>
      <c r="M36" s="427">
        <f t="shared" si="8"/>
        <v>476810.12952499406</v>
      </c>
      <c r="N36" s="239">
        <f t="shared" si="0"/>
        <v>0</v>
      </c>
      <c r="O36" s="240">
        <f t="shared" si="1"/>
        <v>0</v>
      </c>
      <c r="P36" s="319"/>
      <c r="Q36" s="320"/>
      <c r="R36" s="320"/>
      <c r="S36" s="321"/>
      <c r="T36" s="330">
        <f>'Project Final Cost Tracking'!C35</f>
        <v>0</v>
      </c>
      <c r="U36" s="341">
        <f t="shared" si="9"/>
        <v>476810.12952499406</v>
      </c>
      <c r="V36" s="340">
        <f t="shared" si="2"/>
        <v>2.7508527983187965</v>
      </c>
      <c r="W36" s="341">
        <f t="shared" si="10"/>
        <v>1194388.0023874673</v>
      </c>
      <c r="X36" s="342">
        <f t="shared" si="3"/>
        <v>0</v>
      </c>
      <c r="Y36" s="239">
        <f t="shared" si="11"/>
        <v>156612.17000000001</v>
      </c>
      <c r="Z36" s="255">
        <f t="shared" si="12"/>
        <v>2.8132155980974756E-3</v>
      </c>
      <c r="AA36" s="240">
        <f t="shared" si="4"/>
        <v>4754.8864271932725</v>
      </c>
      <c r="AB36" s="238">
        <f>ROUND($C36*Allocations!$B$16,2)</f>
        <v>159461.75</v>
      </c>
      <c r="AC36" s="241">
        <f>$C36*Allocations!$B$24</f>
        <v>0</v>
      </c>
      <c r="AD36" s="244">
        <f t="shared" si="5"/>
        <v>481565.02</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3">
        <v>752620.34068171505</v>
      </c>
      <c r="G37" s="240">
        <v>152252.39000000001</v>
      </c>
      <c r="H37" s="429">
        <v>844359.9</v>
      </c>
      <c r="I37" s="390">
        <f>$C37*Allocations!$B$16</f>
        <v>945155.18398060394</v>
      </c>
      <c r="J37" s="237">
        <f t="shared" si="6"/>
        <v>3575094.7519720364</v>
      </c>
      <c r="K37" s="165">
        <f t="shared" si="7"/>
        <v>893773.69</v>
      </c>
      <c r="L37" s="815">
        <v>1086993.8600000001</v>
      </c>
      <c r="M37" s="427">
        <f t="shared" si="8"/>
        <v>2032149.043980604</v>
      </c>
      <c r="N37" s="239">
        <f t="shared" ref="N37:N68" si="13">AE37+AG37+AI37+AK37+AM37+AO37+AQ37+AS37+AU37+AW37+AY37+BA37+BC37</f>
        <v>565752.75</v>
      </c>
      <c r="O37" s="240">
        <f t="shared" ref="O37:O68" si="14">AF37+AH37+AJ37+AL37+AN37+AP37+AR37+AT37+AV37+AX37+AZ37+BB37+BC37</f>
        <v>565752.75</v>
      </c>
      <c r="P37" s="319"/>
      <c r="Q37" s="320"/>
      <c r="R37" s="320"/>
      <c r="S37" s="321"/>
      <c r="T37" s="330">
        <f>'Project Final Cost Tracking'!C36</f>
        <v>0</v>
      </c>
      <c r="U37" s="341">
        <f t="shared" si="9"/>
        <v>1466396.293980604</v>
      </c>
      <c r="V37" s="340">
        <f t="shared" ref="V37:V68" si="15">$U37/$K37</f>
        <v>1.6406796377957871</v>
      </c>
      <c r="W37" s="341">
        <f t="shared" si="10"/>
        <v>5719594.6218933221</v>
      </c>
      <c r="X37" s="342">
        <f t="shared" ref="X37:X68" si="16">IF((($U37-$J37)-($Q37+$S37))&gt;0,(($U37-$J37)-($Q37+$S37)),0)</f>
        <v>0</v>
      </c>
      <c r="Y37" s="239">
        <f t="shared" si="11"/>
        <v>844359.9</v>
      </c>
      <c r="Z37" s="255">
        <f t="shared" si="12"/>
        <v>1.5167189376713346E-2</v>
      </c>
      <c r="AA37" s="240">
        <f t="shared" ref="AA37:AA68" si="17">IF($Z37&gt;0,$Z37*$X$104,0)</f>
        <v>25635.526461170091</v>
      </c>
      <c r="AB37" s="238">
        <f>ROUND($C37*Allocations!$B$16,2)</f>
        <v>945155.18</v>
      </c>
      <c r="AC37" s="241">
        <f>$C37*Allocations!$B$24</f>
        <v>0</v>
      </c>
      <c r="AD37" s="244">
        <f t="shared" ref="AD37:AD68" si="18">ROUND($L37+$AB37+$AC37+$AA37-$O37-$T37-$X37,2)</f>
        <v>1492031.82</v>
      </c>
      <c r="AE37" s="153"/>
      <c r="AF37" s="141"/>
      <c r="AG37" s="151">
        <f>Fayette!C19</f>
        <v>169273</v>
      </c>
      <c r="AH37" s="146">
        <f>Fayette!D19</f>
        <v>169273</v>
      </c>
      <c r="AI37" s="145"/>
      <c r="AJ37" s="146"/>
      <c r="AK37" s="151"/>
      <c r="AL37" s="146"/>
      <c r="AM37" s="145"/>
      <c r="AN37" s="146"/>
      <c r="AO37" s="605"/>
      <c r="AP37" s="146"/>
      <c r="AQ37" s="145"/>
      <c r="AR37" s="146"/>
      <c r="AS37" s="145"/>
      <c r="AT37" s="146"/>
      <c r="AU37" s="145"/>
      <c r="AV37" s="146"/>
      <c r="AW37" s="148"/>
      <c r="AX37" s="141"/>
      <c r="AY37" s="145">
        <f>Fayette!C20</f>
        <v>396479.75</v>
      </c>
      <c r="AZ37" s="146">
        <f>Fayette!D20</f>
        <v>396479.75</v>
      </c>
      <c r="BA37" s="149"/>
      <c r="BB37" s="150"/>
      <c r="BC37" s="179"/>
      <c r="BD37" s="176"/>
    </row>
    <row r="38" spans="1:56" s="30" customFormat="1" ht="12.75">
      <c r="A38" s="97" t="s">
        <v>35</v>
      </c>
      <c r="B38" s="47">
        <v>34</v>
      </c>
      <c r="C38" s="247">
        <v>1.180739180624105E-2</v>
      </c>
      <c r="D38" s="239">
        <v>745447.90132505703</v>
      </c>
      <c r="E38" s="240">
        <v>153656.32355931963</v>
      </c>
      <c r="F38" s="603">
        <v>686940.06031549629</v>
      </c>
      <c r="G38" s="240">
        <v>138965.51</v>
      </c>
      <c r="H38" s="429">
        <v>684242.98</v>
      </c>
      <c r="I38" s="390">
        <f>$C38*Allocations!$B$16</f>
        <v>679486.24599880283</v>
      </c>
      <c r="J38" s="237">
        <f t="shared" si="6"/>
        <v>3088739.021198676</v>
      </c>
      <c r="K38" s="165">
        <f t="shared" si="7"/>
        <v>772184.76</v>
      </c>
      <c r="L38" s="815">
        <v>-301611.07</v>
      </c>
      <c r="M38" s="427">
        <f t="shared" si="8"/>
        <v>377875.17599880282</v>
      </c>
      <c r="N38" s="239">
        <f t="shared" si="13"/>
        <v>0</v>
      </c>
      <c r="O38" s="240">
        <f t="shared" si="14"/>
        <v>0</v>
      </c>
      <c r="P38" s="319"/>
      <c r="Q38" s="320"/>
      <c r="R38" s="320"/>
      <c r="S38" s="321"/>
      <c r="T38" s="330">
        <f>'Project Final Cost Tracking'!C37</f>
        <v>0</v>
      </c>
      <c r="U38" s="341">
        <f t="shared" si="9"/>
        <v>377875.17599880282</v>
      </c>
      <c r="V38" s="340">
        <f t="shared" si="15"/>
        <v>0.48935850015843724</v>
      </c>
      <c r="W38" s="341">
        <f t="shared" si="10"/>
        <v>3435563.2829934154</v>
      </c>
      <c r="X38" s="342">
        <f t="shared" si="16"/>
        <v>0</v>
      </c>
      <c r="Y38" s="239">
        <f t="shared" si="11"/>
        <v>684242.98</v>
      </c>
      <c r="Z38" s="255">
        <f t="shared" si="12"/>
        <v>1.2291018151556797E-2</v>
      </c>
      <c r="AA38" s="240">
        <f t="shared" si="17"/>
        <v>20774.232669812813</v>
      </c>
      <c r="AB38" s="238">
        <f>ROUND($C38*Allocations!$B$16,2)</f>
        <v>679486.25</v>
      </c>
      <c r="AC38" s="241">
        <f>$C38*Allocations!$B$24</f>
        <v>0</v>
      </c>
      <c r="AD38" s="244">
        <f t="shared" si="18"/>
        <v>398649.41</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1">
        <v>521147.79188612039</v>
      </c>
      <c r="G39" s="343">
        <v>105426.33</v>
      </c>
      <c r="H39" s="430">
        <v>655649.68000000005</v>
      </c>
      <c r="I39" s="391">
        <f>$C39*Allocations!$B$16</f>
        <v>507421.19226631301</v>
      </c>
      <c r="J39" s="387">
        <f t="shared" si="6"/>
        <v>2288008.7175650075</v>
      </c>
      <c r="K39" s="168">
        <f t="shared" si="7"/>
        <v>572002.18000000005</v>
      </c>
      <c r="L39" s="816">
        <v>39778.79</v>
      </c>
      <c r="M39" s="428">
        <f t="shared" si="8"/>
        <v>547199.98226631305</v>
      </c>
      <c r="N39" s="305">
        <f t="shared" si="13"/>
        <v>0</v>
      </c>
      <c r="O39" s="343">
        <f t="shared" si="14"/>
        <v>0</v>
      </c>
      <c r="P39" s="344"/>
      <c r="Q39" s="345"/>
      <c r="R39" s="345"/>
      <c r="S39" s="346"/>
      <c r="T39" s="188">
        <f>'Project Final Cost Tracking'!C38</f>
        <v>0</v>
      </c>
      <c r="U39" s="348">
        <f t="shared" si="9"/>
        <v>547199.98226631305</v>
      </c>
      <c r="V39" s="347">
        <f t="shared" si="15"/>
        <v>0.95663967970596375</v>
      </c>
      <c r="W39" s="348">
        <f t="shared" si="10"/>
        <v>2830595.3474647216</v>
      </c>
      <c r="X39" s="349">
        <f t="shared" si="16"/>
        <v>0</v>
      </c>
      <c r="Y39" s="305">
        <f t="shared" si="11"/>
        <v>655649.68000000005</v>
      </c>
      <c r="Z39" s="350">
        <f t="shared" si="12"/>
        <v>1.1777398312427563E-2</v>
      </c>
      <c r="AA39" s="343">
        <f t="shared" si="17"/>
        <v>19906.114348748331</v>
      </c>
      <c r="AB39" s="233">
        <f>ROUND($C39*Allocations!$B$16,2)</f>
        <v>507421.19</v>
      </c>
      <c r="AC39" s="242">
        <f>$C39*Allocations!$B$24</f>
        <v>0</v>
      </c>
      <c r="AD39" s="246">
        <f t="shared" si="18"/>
        <v>567106.09</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3">
        <v>473535.32409129554</v>
      </c>
      <c r="G40" s="240">
        <v>95794.5</v>
      </c>
      <c r="H40" s="429">
        <v>455694.3</v>
      </c>
      <c r="I40" s="390">
        <f>$C40*Allocations!$B$16</f>
        <v>466179.45590275928</v>
      </c>
      <c r="J40" s="237">
        <f t="shared" si="6"/>
        <v>2037542.7803004745</v>
      </c>
      <c r="K40" s="165">
        <f t="shared" si="7"/>
        <v>509385.7</v>
      </c>
      <c r="L40" s="815">
        <v>-375083.39</v>
      </c>
      <c r="M40" s="427">
        <f t="shared" si="8"/>
        <v>91096.065902759263</v>
      </c>
      <c r="N40" s="239">
        <f t="shared" si="13"/>
        <v>0</v>
      </c>
      <c r="O40" s="240">
        <f t="shared" si="14"/>
        <v>0</v>
      </c>
      <c r="P40" s="319"/>
      <c r="Q40" s="320"/>
      <c r="R40" s="320"/>
      <c r="S40" s="321"/>
      <c r="T40" s="330">
        <f>'Project Final Cost Tracking'!C39</f>
        <v>138063.04999999993</v>
      </c>
      <c r="U40" s="341">
        <f t="shared" si="9"/>
        <v>-46966.984097240667</v>
      </c>
      <c r="V40" s="340">
        <f t="shared" si="15"/>
        <v>-9.2203185321536638E-2</v>
      </c>
      <c r="W40" s="341">
        <f t="shared" si="10"/>
        <v>2050840.5674651761</v>
      </c>
      <c r="X40" s="342">
        <f t="shared" si="16"/>
        <v>0</v>
      </c>
      <c r="Y40" s="239">
        <f t="shared" si="11"/>
        <v>455694.3</v>
      </c>
      <c r="Z40" s="255">
        <f t="shared" si="12"/>
        <v>8.1856110717584106E-3</v>
      </c>
      <c r="AA40" s="240">
        <f t="shared" si="17"/>
        <v>13835.289058438686</v>
      </c>
      <c r="AB40" s="238">
        <f>ROUND($C40*Allocations!$B$16,2)</f>
        <v>466179.46</v>
      </c>
      <c r="AC40" s="241">
        <f>$C40*Allocations!$B$24</f>
        <v>0</v>
      </c>
      <c r="AD40" s="244">
        <f t="shared" si="18"/>
        <v>-33131.69</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3">
        <v>315846.11947269097</v>
      </c>
      <c r="G41" s="240">
        <v>63894.54</v>
      </c>
      <c r="H41" s="429">
        <v>413695.03</v>
      </c>
      <c r="I41" s="390">
        <f>$C41*Allocations!$B$16</f>
        <v>408615.19441949576</v>
      </c>
      <c r="J41" s="237">
        <f t="shared" si="6"/>
        <v>1572863.1744731609</v>
      </c>
      <c r="K41" s="165">
        <f t="shared" si="7"/>
        <v>393215.79</v>
      </c>
      <c r="L41" s="815">
        <v>-872875.74</v>
      </c>
      <c r="M41" s="427">
        <f t="shared" si="8"/>
        <v>-464260.54558050423</v>
      </c>
      <c r="N41" s="239">
        <f t="shared" si="13"/>
        <v>427885.28</v>
      </c>
      <c r="O41" s="240">
        <f t="shared" si="14"/>
        <v>417885.28</v>
      </c>
      <c r="P41" s="319"/>
      <c r="Q41" s="320"/>
      <c r="R41" s="320"/>
      <c r="S41" s="321"/>
      <c r="T41" s="330">
        <f>'Project Final Cost Tracking'!C40</f>
        <v>0</v>
      </c>
      <c r="U41" s="341">
        <f t="shared" si="9"/>
        <v>-882145.82558050426</v>
      </c>
      <c r="V41" s="340">
        <f t="shared" si="15"/>
        <v>-2.2434140439286638</v>
      </c>
      <c r="W41" s="341">
        <f t="shared" si="10"/>
        <v>956622.54930722667</v>
      </c>
      <c r="X41" s="342">
        <f t="shared" si="16"/>
        <v>0</v>
      </c>
      <c r="Y41" s="239">
        <f t="shared" si="11"/>
        <v>413695.03</v>
      </c>
      <c r="Z41" s="255">
        <f t="shared" si="12"/>
        <v>7.4311805477914206E-3</v>
      </c>
      <c r="AA41" s="240">
        <f t="shared" si="17"/>
        <v>12560.153423225755</v>
      </c>
      <c r="AB41" s="238">
        <f>ROUND($C41*Allocations!$B$16,2)</f>
        <v>408615.19</v>
      </c>
      <c r="AC41" s="241">
        <f>$C41*Allocations!$B$24</f>
        <v>0</v>
      </c>
      <c r="AD41" s="244">
        <f t="shared" si="18"/>
        <v>-869585.68</v>
      </c>
      <c r="AE41" s="153"/>
      <c r="AF41" s="141"/>
      <c r="AG41" s="151"/>
      <c r="AH41" s="146"/>
      <c r="AI41" s="145"/>
      <c r="AJ41" s="146"/>
      <c r="AK41" s="151"/>
      <c r="AL41" s="146"/>
      <c r="AM41" s="145">
        <f>Greene!C6</f>
        <v>427885.28</v>
      </c>
      <c r="AN41" s="146">
        <f>Greene!D6</f>
        <v>417885.28</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3">
        <v>668886.48985580844</v>
      </c>
      <c r="G42" s="240">
        <v>135313.32999999999</v>
      </c>
      <c r="H42" s="429">
        <v>819578.34</v>
      </c>
      <c r="I42" s="390">
        <f>$C42*Allocations!$B$16</f>
        <v>794842.697768474</v>
      </c>
      <c r="J42" s="237">
        <f t="shared" si="6"/>
        <v>3229338.2898471258</v>
      </c>
      <c r="K42" s="165">
        <f t="shared" si="7"/>
        <v>807334.57</v>
      </c>
      <c r="L42" s="815">
        <v>1436107.98</v>
      </c>
      <c r="M42" s="427">
        <f t="shared" si="8"/>
        <v>2230950.677768474</v>
      </c>
      <c r="N42" s="239">
        <f t="shared" si="13"/>
        <v>0</v>
      </c>
      <c r="O42" s="240">
        <f t="shared" si="14"/>
        <v>0</v>
      </c>
      <c r="P42" s="319"/>
      <c r="Q42" s="320"/>
      <c r="R42" s="320"/>
      <c r="S42" s="321"/>
      <c r="T42" s="330">
        <f>'Project Final Cost Tracking'!C41</f>
        <v>0</v>
      </c>
      <c r="U42" s="341">
        <f t="shared" si="9"/>
        <v>2230950.677768474</v>
      </c>
      <c r="V42" s="340">
        <f t="shared" si="15"/>
        <v>2.7633533366079868</v>
      </c>
      <c r="W42" s="341">
        <f t="shared" si="10"/>
        <v>5807742.8177266065</v>
      </c>
      <c r="X42" s="342">
        <f t="shared" si="16"/>
        <v>0</v>
      </c>
      <c r="Y42" s="239">
        <f t="shared" si="11"/>
        <v>819578.34</v>
      </c>
      <c r="Z42" s="255">
        <f t="shared" si="12"/>
        <v>1.4722039608740725E-2</v>
      </c>
      <c r="AA42" s="240">
        <f t="shared" si="17"/>
        <v>24883.135996950896</v>
      </c>
      <c r="AB42" s="238">
        <f>ROUND($C42*Allocations!$B$16,2)</f>
        <v>794842.7</v>
      </c>
      <c r="AC42" s="241">
        <f>$C42*Allocations!$B$24</f>
        <v>0</v>
      </c>
      <c r="AD42" s="244">
        <f t="shared" si="18"/>
        <v>2255833.8199999998</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3">
        <v>899904.06390541245</v>
      </c>
      <c r="G43" s="240">
        <v>182047.35999999999</v>
      </c>
      <c r="H43" s="429">
        <v>917426.95</v>
      </c>
      <c r="I43" s="390">
        <f>$C43*Allocations!$B$16</f>
        <v>904302.01084201527</v>
      </c>
      <c r="J43" s="237">
        <f t="shared" si="6"/>
        <v>3892703.2016808381</v>
      </c>
      <c r="K43" s="165">
        <f t="shared" si="7"/>
        <v>973175.8</v>
      </c>
      <c r="L43" s="815">
        <v>2311585.27</v>
      </c>
      <c r="M43" s="427">
        <f t="shared" si="8"/>
        <v>3215887.2808420155</v>
      </c>
      <c r="N43" s="239">
        <f t="shared" si="13"/>
        <v>0</v>
      </c>
      <c r="O43" s="240">
        <f t="shared" si="14"/>
        <v>0</v>
      </c>
      <c r="P43" s="319"/>
      <c r="Q43" s="320"/>
      <c r="R43" s="320"/>
      <c r="S43" s="321"/>
      <c r="T43" s="330">
        <f>'Project Final Cost Tracking'!C42</f>
        <v>0</v>
      </c>
      <c r="U43" s="341">
        <f t="shared" si="9"/>
        <v>3215887.2808420155</v>
      </c>
      <c r="V43" s="340">
        <f t="shared" si="15"/>
        <v>3.3045286173803494</v>
      </c>
      <c r="W43" s="341">
        <f t="shared" si="10"/>
        <v>7285246.3296310846</v>
      </c>
      <c r="X43" s="342">
        <f t="shared" si="16"/>
        <v>0</v>
      </c>
      <c r="Y43" s="239">
        <f t="shared" si="11"/>
        <v>917426.95</v>
      </c>
      <c r="Z43" s="255">
        <f t="shared" si="12"/>
        <v>1.6479688684825661E-2</v>
      </c>
      <c r="AA43" s="240">
        <f t="shared" si="17"/>
        <v>27853.907857201146</v>
      </c>
      <c r="AB43" s="238">
        <f>ROUND($C43*Allocations!$B$16,2)</f>
        <v>904302.01</v>
      </c>
      <c r="AC43" s="241">
        <f>$C43*Allocations!$B$24</f>
        <v>0</v>
      </c>
      <c r="AD43" s="244">
        <f t="shared" si="18"/>
        <v>3243741.19</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1">
        <v>530767.58014972706</v>
      </c>
      <c r="G44" s="343">
        <v>107372.37</v>
      </c>
      <c r="H44" s="430">
        <v>549835.93000000005</v>
      </c>
      <c r="I44" s="391">
        <f>$C44*Allocations!$B$16</f>
        <v>562932.94739798096</v>
      </c>
      <c r="J44" s="387">
        <f t="shared" si="6"/>
        <v>2290479.900504149</v>
      </c>
      <c r="K44" s="168">
        <f t="shared" si="7"/>
        <v>572619.98</v>
      </c>
      <c r="L44" s="816">
        <v>865944.16</v>
      </c>
      <c r="M44" s="428">
        <f t="shared" si="8"/>
        <v>1428877.107397981</v>
      </c>
      <c r="N44" s="305">
        <f t="shared" si="13"/>
        <v>0</v>
      </c>
      <c r="O44" s="343">
        <f t="shared" si="14"/>
        <v>0</v>
      </c>
      <c r="P44" s="344"/>
      <c r="Q44" s="345"/>
      <c r="R44" s="345"/>
      <c r="S44" s="346"/>
      <c r="T44" s="188">
        <f>'Project Final Cost Tracking'!C43</f>
        <v>22918.799999999988</v>
      </c>
      <c r="U44" s="348">
        <f t="shared" si="9"/>
        <v>1405958.3073979809</v>
      </c>
      <c r="V44" s="347">
        <f t="shared" si="15"/>
        <v>2.4553078071044272</v>
      </c>
      <c r="W44" s="348">
        <f t="shared" si="10"/>
        <v>3939156.5706888949</v>
      </c>
      <c r="X44" s="349">
        <f t="shared" si="16"/>
        <v>0</v>
      </c>
      <c r="Y44" s="305">
        <f t="shared" si="11"/>
        <v>549835.93000000005</v>
      </c>
      <c r="Z44" s="350">
        <f t="shared" si="12"/>
        <v>9.876671874672522E-3</v>
      </c>
      <c r="AA44" s="343">
        <f t="shared" si="17"/>
        <v>16693.513669724329</v>
      </c>
      <c r="AB44" s="233">
        <f>ROUND($C44*Allocations!$B$16,2)</f>
        <v>562932.94999999995</v>
      </c>
      <c r="AC44" s="242">
        <f>$C44*Allocations!$B$24</f>
        <v>0</v>
      </c>
      <c r="AD44" s="246">
        <f t="shared" si="18"/>
        <v>1422651.82</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3">
        <v>402833.52235666051</v>
      </c>
      <c r="G45" s="240">
        <v>81491.77</v>
      </c>
      <c r="H45" s="429">
        <v>390522.29</v>
      </c>
      <c r="I45" s="390">
        <f>$C45*Allocations!$B$16</f>
        <v>370981.62355271034</v>
      </c>
      <c r="J45" s="237">
        <f t="shared" si="6"/>
        <v>1752113.4747949347</v>
      </c>
      <c r="K45" s="165">
        <f t="shared" si="7"/>
        <v>438028.37</v>
      </c>
      <c r="L45" s="815">
        <v>-747844.09</v>
      </c>
      <c r="M45" s="427">
        <f t="shared" si="8"/>
        <v>-376862.46644728963</v>
      </c>
      <c r="N45" s="239">
        <f t="shared" si="13"/>
        <v>1327525.68</v>
      </c>
      <c r="O45" s="240">
        <f t="shared" si="14"/>
        <v>1327525.68</v>
      </c>
      <c r="P45" s="319"/>
      <c r="Q45" s="320"/>
      <c r="R45" s="320"/>
      <c r="S45" s="321"/>
      <c r="T45" s="330">
        <f>'Project Final Cost Tracking'!C44</f>
        <v>0</v>
      </c>
      <c r="U45" s="341">
        <f t="shared" si="9"/>
        <v>-1704388.1464472895</v>
      </c>
      <c r="V45" s="340">
        <f t="shared" si="15"/>
        <v>-3.8910451084419249</v>
      </c>
      <c r="W45" s="341">
        <f t="shared" si="10"/>
        <v>-34970.840460092993</v>
      </c>
      <c r="X45" s="342">
        <f t="shared" si="16"/>
        <v>0</v>
      </c>
      <c r="Y45" s="239">
        <f t="shared" si="11"/>
        <v>390522.29</v>
      </c>
      <c r="Z45" s="255">
        <f t="shared" si="12"/>
        <v>7.0149299229603015E-3</v>
      </c>
      <c r="AA45" s="240">
        <f t="shared" si="17"/>
        <v>11856.608182093607</v>
      </c>
      <c r="AB45" s="238">
        <f>ROUND($C45*Allocations!$B$16,2)</f>
        <v>370981.62</v>
      </c>
      <c r="AC45" s="241">
        <f>$C45*Allocations!$B$24</f>
        <v>0</v>
      </c>
      <c r="AD45" s="244">
        <f t="shared" si="18"/>
        <v>-1692531.54</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3">
        <v>618911.89295479434</v>
      </c>
      <c r="G46" s="240">
        <v>125203.65</v>
      </c>
      <c r="H46" s="429">
        <v>626128.30000000005</v>
      </c>
      <c r="I46" s="390">
        <f>$C46*Allocations!$B$16</f>
        <v>771569.99277767341</v>
      </c>
      <c r="J46" s="237">
        <f t="shared" si="6"/>
        <v>2909718.3756481977</v>
      </c>
      <c r="K46" s="165">
        <f t="shared" si="7"/>
        <v>727429.59</v>
      </c>
      <c r="L46" s="815">
        <v>709626.46</v>
      </c>
      <c r="M46" s="427">
        <f t="shared" si="8"/>
        <v>1481196.4527776735</v>
      </c>
      <c r="N46" s="239">
        <f t="shared" si="13"/>
        <v>0</v>
      </c>
      <c r="O46" s="240">
        <f t="shared" si="14"/>
        <v>0</v>
      </c>
      <c r="P46" s="319"/>
      <c r="Q46" s="320"/>
      <c r="R46" s="320"/>
      <c r="S46" s="321"/>
      <c r="T46" s="330">
        <f>'Project Final Cost Tracking'!C45</f>
        <v>0</v>
      </c>
      <c r="U46" s="341">
        <f t="shared" si="9"/>
        <v>1481196.4527776735</v>
      </c>
      <c r="V46" s="340">
        <f t="shared" si="15"/>
        <v>2.036205940945671</v>
      </c>
      <c r="W46" s="341">
        <f t="shared" si="10"/>
        <v>4953261.4202772044</v>
      </c>
      <c r="X46" s="342">
        <f t="shared" si="16"/>
        <v>0</v>
      </c>
      <c r="Y46" s="239">
        <f t="shared" si="11"/>
        <v>626128.30000000005</v>
      </c>
      <c r="Z46" s="255">
        <f t="shared" si="12"/>
        <v>1.1247107424475733E-2</v>
      </c>
      <c r="AA46" s="240">
        <f t="shared" si="17"/>
        <v>19009.818683641239</v>
      </c>
      <c r="AB46" s="238">
        <f>ROUND($C46*Allocations!$B$16,2)</f>
        <v>771569.99</v>
      </c>
      <c r="AC46" s="241">
        <f>$C46*Allocations!$B$24</f>
        <v>0</v>
      </c>
      <c r="AD46" s="244">
        <f t="shared" si="18"/>
        <v>1500206.27</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3">
        <v>559830.59936518501</v>
      </c>
      <c r="G47" s="240">
        <v>113251.72</v>
      </c>
      <c r="H47" s="429">
        <v>493093.74</v>
      </c>
      <c r="I47" s="390">
        <f>$C47*Allocations!$B$16</f>
        <v>467564.42190611776</v>
      </c>
      <c r="J47" s="237">
        <f t="shared" si="6"/>
        <v>2350213.8239890393</v>
      </c>
      <c r="K47" s="165">
        <f t="shared" si="7"/>
        <v>587553.46</v>
      </c>
      <c r="L47" s="815">
        <v>798790.46</v>
      </c>
      <c r="M47" s="427">
        <f t="shared" si="8"/>
        <v>1266354.8819061178</v>
      </c>
      <c r="N47" s="239">
        <f t="shared" si="13"/>
        <v>0</v>
      </c>
      <c r="O47" s="240">
        <f t="shared" si="14"/>
        <v>0</v>
      </c>
      <c r="P47" s="319"/>
      <c r="Q47" s="320"/>
      <c r="R47" s="320"/>
      <c r="S47" s="321"/>
      <c r="T47" s="330">
        <f>'Project Final Cost Tracking'!C46</f>
        <v>28191.799999999988</v>
      </c>
      <c r="U47" s="341">
        <f t="shared" si="9"/>
        <v>1238163.0819061177</v>
      </c>
      <c r="V47" s="340">
        <f t="shared" si="15"/>
        <v>2.1073198716353705</v>
      </c>
      <c r="W47" s="341">
        <f t="shared" si="10"/>
        <v>3342202.9804836474</v>
      </c>
      <c r="X47" s="342">
        <f t="shared" si="16"/>
        <v>0</v>
      </c>
      <c r="Y47" s="239">
        <f t="shared" si="11"/>
        <v>493093.74</v>
      </c>
      <c r="Z47" s="255">
        <f t="shared" si="12"/>
        <v>8.8574151082398064E-3</v>
      </c>
      <c r="AA47" s="240">
        <f t="shared" si="17"/>
        <v>14970.769715150287</v>
      </c>
      <c r="AB47" s="238">
        <f>ROUND($C47*Allocations!$B$16,2)</f>
        <v>467564.42</v>
      </c>
      <c r="AC47" s="241">
        <f>$C47*Allocations!$B$24</f>
        <v>0</v>
      </c>
      <c r="AD47" s="244">
        <f t="shared" si="18"/>
        <v>1253133.8500000001</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3">
        <v>593682.78873142437</v>
      </c>
      <c r="G48" s="240">
        <v>120099.9</v>
      </c>
      <c r="H48" s="429">
        <v>610252.97</v>
      </c>
      <c r="I48" s="390">
        <f>$C48*Allocations!$B$16</f>
        <v>717570.07815278671</v>
      </c>
      <c r="J48" s="237">
        <f t="shared" si="6"/>
        <v>2627515.4182563452</v>
      </c>
      <c r="K48" s="165">
        <f t="shared" si="7"/>
        <v>656878.85</v>
      </c>
      <c r="L48" s="815">
        <v>39798.53</v>
      </c>
      <c r="M48" s="427">
        <f t="shared" si="8"/>
        <v>757368.60815278674</v>
      </c>
      <c r="N48" s="239">
        <f t="shared" si="13"/>
        <v>0</v>
      </c>
      <c r="O48" s="240">
        <f t="shared" si="14"/>
        <v>0</v>
      </c>
      <c r="P48" s="319"/>
      <c r="Q48" s="320"/>
      <c r="R48" s="320"/>
      <c r="S48" s="321"/>
      <c r="T48" s="330">
        <f>'Project Final Cost Tracking'!C47</f>
        <v>0</v>
      </c>
      <c r="U48" s="341">
        <f t="shared" si="9"/>
        <v>757368.60815278674</v>
      </c>
      <c r="V48" s="340">
        <f t="shared" si="15"/>
        <v>1.1529806571680405</v>
      </c>
      <c r="W48" s="341">
        <f t="shared" si="10"/>
        <v>3986433.959840327</v>
      </c>
      <c r="X48" s="342">
        <f t="shared" si="16"/>
        <v>0</v>
      </c>
      <c r="Y48" s="239">
        <f t="shared" si="11"/>
        <v>610252.97</v>
      </c>
      <c r="Z48" s="255">
        <f t="shared" si="12"/>
        <v>1.0961939764893819E-2</v>
      </c>
      <c r="AA48" s="240">
        <f t="shared" si="17"/>
        <v>18527.82937754699</v>
      </c>
      <c r="AB48" s="238">
        <f>ROUND($C48*Allocations!$B$16,2)</f>
        <v>717570.08</v>
      </c>
      <c r="AC48" s="241">
        <f>$C48*Allocations!$B$24</f>
        <v>0</v>
      </c>
      <c r="AD48" s="244">
        <f t="shared" si="18"/>
        <v>775896.44</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1">
        <v>526696.50766063551</v>
      </c>
      <c r="G49" s="343">
        <v>106548.81</v>
      </c>
      <c r="H49" s="430">
        <v>520827.82</v>
      </c>
      <c r="I49" s="391">
        <f>$C49*Allocations!$B$16</f>
        <v>517576.87015279417</v>
      </c>
      <c r="J49" s="387">
        <f t="shared" si="6"/>
        <v>2309132.9072680823</v>
      </c>
      <c r="K49" s="168">
        <f t="shared" si="7"/>
        <v>577283.23</v>
      </c>
      <c r="L49" s="816">
        <v>1230206.1499999999</v>
      </c>
      <c r="M49" s="428">
        <f t="shared" si="8"/>
        <v>1747783.0201527942</v>
      </c>
      <c r="N49" s="305">
        <f t="shared" si="13"/>
        <v>539845.64</v>
      </c>
      <c r="O49" s="343">
        <f t="shared" si="14"/>
        <v>539845.64</v>
      </c>
      <c r="P49" s="344"/>
      <c r="Q49" s="345"/>
      <c r="R49" s="345"/>
      <c r="S49" s="346"/>
      <c r="T49" s="188">
        <f>'Project Final Cost Tracking'!C48</f>
        <v>0</v>
      </c>
      <c r="U49" s="348">
        <f t="shared" si="9"/>
        <v>1207937.3801527941</v>
      </c>
      <c r="V49" s="347">
        <f t="shared" si="15"/>
        <v>2.0924518804275576</v>
      </c>
      <c r="W49" s="348">
        <f t="shared" si="10"/>
        <v>3537033.2958403677</v>
      </c>
      <c r="X49" s="349">
        <f t="shared" si="16"/>
        <v>0</v>
      </c>
      <c r="Y49" s="305">
        <f t="shared" si="11"/>
        <v>520827.82</v>
      </c>
      <c r="Z49" s="350">
        <f t="shared" si="12"/>
        <v>9.3556008268521167E-3</v>
      </c>
      <c r="AA49" s="343">
        <f t="shared" si="17"/>
        <v>15812.801343743982</v>
      </c>
      <c r="AB49" s="233">
        <f>ROUND($C49*Allocations!$B$16,2)</f>
        <v>517576.87</v>
      </c>
      <c r="AC49" s="242">
        <f>$C49*Allocations!$B$24</f>
        <v>0</v>
      </c>
      <c r="AD49" s="246">
        <f t="shared" si="18"/>
        <v>1223750.18</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3">
        <v>198933.14248895834</v>
      </c>
      <c r="G50" s="240">
        <v>40243.46</v>
      </c>
      <c r="H50" s="429">
        <v>194875.17</v>
      </c>
      <c r="I50" s="390">
        <f>$C50*Allocations!$B$16</f>
        <v>192059.70411592469</v>
      </c>
      <c r="J50" s="237">
        <f t="shared" si="6"/>
        <v>870139.07079623942</v>
      </c>
      <c r="K50" s="165">
        <f t="shared" si="7"/>
        <v>217534.77</v>
      </c>
      <c r="L50" s="815">
        <v>-5546.98</v>
      </c>
      <c r="M50" s="427">
        <f t="shared" si="8"/>
        <v>186512.72411592468</v>
      </c>
      <c r="N50" s="239">
        <f t="shared" si="13"/>
        <v>342738.75</v>
      </c>
      <c r="O50" s="240">
        <f t="shared" si="14"/>
        <v>342738.75</v>
      </c>
      <c r="P50" s="319"/>
      <c r="Q50" s="320"/>
      <c r="R50" s="320"/>
      <c r="S50" s="321"/>
      <c r="T50" s="330">
        <f>'Project Final Cost Tracking'!C49</f>
        <v>0</v>
      </c>
      <c r="U50" s="341">
        <f t="shared" si="9"/>
        <v>-156226.02588407532</v>
      </c>
      <c r="V50" s="340">
        <f t="shared" si="15"/>
        <v>-0.71816577131129578</v>
      </c>
      <c r="W50" s="341">
        <f t="shared" si="10"/>
        <v>708042.64263758576</v>
      </c>
      <c r="X50" s="342">
        <f t="shared" si="16"/>
        <v>0</v>
      </c>
      <c r="Y50" s="239">
        <f t="shared" si="11"/>
        <v>194875.17</v>
      </c>
      <c r="Z50" s="255">
        <f t="shared" si="12"/>
        <v>3.5005317142716126E-3</v>
      </c>
      <c r="AA50" s="240">
        <f t="shared" si="17"/>
        <v>5916.5855426815278</v>
      </c>
      <c r="AB50" s="238">
        <f>ROUND($C50*Allocations!$B$16,2)</f>
        <v>192059.7</v>
      </c>
      <c r="AC50" s="241">
        <f>$C50*Allocations!$B$24</f>
        <v>0</v>
      </c>
      <c r="AD50" s="244">
        <f t="shared" si="18"/>
        <v>-150309.44</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3">
        <v>371360.32929845841</v>
      </c>
      <c r="G51" s="240">
        <v>75124.86</v>
      </c>
      <c r="H51" s="429">
        <v>396614.04</v>
      </c>
      <c r="I51" s="390">
        <f>$C51*Allocations!$B$16</f>
        <v>391205.26916499977</v>
      </c>
      <c r="J51" s="237">
        <f t="shared" si="6"/>
        <v>1694772.2203017792</v>
      </c>
      <c r="K51" s="165">
        <f t="shared" si="7"/>
        <v>423693.06</v>
      </c>
      <c r="L51" s="815">
        <v>775147.49</v>
      </c>
      <c r="M51" s="427">
        <f t="shared" si="8"/>
        <v>1166352.7591649997</v>
      </c>
      <c r="N51" s="239">
        <f t="shared" si="13"/>
        <v>0</v>
      </c>
      <c r="O51" s="240">
        <f t="shared" si="14"/>
        <v>0</v>
      </c>
      <c r="P51" s="319"/>
      <c r="Q51" s="320"/>
      <c r="R51" s="320"/>
      <c r="S51" s="321"/>
      <c r="T51" s="330">
        <f>'Project Final Cost Tracking'!C50</f>
        <v>0</v>
      </c>
      <c r="U51" s="341">
        <f t="shared" si="9"/>
        <v>1166352.7591649997</v>
      </c>
      <c r="V51" s="340">
        <f t="shared" si="15"/>
        <v>2.7528247905807088</v>
      </c>
      <c r="W51" s="341">
        <f t="shared" si="10"/>
        <v>2926776.470407499</v>
      </c>
      <c r="X51" s="342">
        <f t="shared" si="16"/>
        <v>0</v>
      </c>
      <c r="Y51" s="239">
        <f t="shared" si="11"/>
        <v>396614.04</v>
      </c>
      <c r="Z51" s="255">
        <f t="shared" si="12"/>
        <v>7.1243556854646483E-3</v>
      </c>
      <c r="AA51" s="240">
        <f t="shared" si="17"/>
        <v>12041.559194475689</v>
      </c>
      <c r="AB51" s="238">
        <f>ROUND($C51*Allocations!$B$16,2)</f>
        <v>391205.27</v>
      </c>
      <c r="AC51" s="241">
        <f>$C51*Allocations!$B$24</f>
        <v>0</v>
      </c>
      <c r="AD51" s="244">
        <f t="shared" si="18"/>
        <v>1178394.32</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3">
        <v>849120.95634560788</v>
      </c>
      <c r="G52" s="240">
        <v>171774.12</v>
      </c>
      <c r="H52" s="429">
        <v>850718.19</v>
      </c>
      <c r="I52" s="390">
        <f>$C52*Allocations!$B$16</f>
        <v>826983.91984340327</v>
      </c>
      <c r="J52" s="237">
        <f t="shared" si="6"/>
        <v>3744385.0472229789</v>
      </c>
      <c r="K52" s="165">
        <f t="shared" si="7"/>
        <v>936096.26</v>
      </c>
      <c r="L52" s="815">
        <v>1218126.27</v>
      </c>
      <c r="M52" s="427">
        <f t="shared" si="8"/>
        <v>2045110.1898434032</v>
      </c>
      <c r="N52" s="239">
        <f t="shared" si="13"/>
        <v>0</v>
      </c>
      <c r="O52" s="240">
        <f t="shared" si="14"/>
        <v>0</v>
      </c>
      <c r="P52" s="319"/>
      <c r="Q52" s="320"/>
      <c r="R52" s="320"/>
      <c r="S52" s="321"/>
      <c r="T52" s="330">
        <f>'Project Final Cost Tracking'!C51</f>
        <v>0</v>
      </c>
      <c r="U52" s="341">
        <f t="shared" si="9"/>
        <v>2045110.1898434032</v>
      </c>
      <c r="V52" s="340">
        <f t="shared" si="15"/>
        <v>2.1847221030916235</v>
      </c>
      <c r="W52" s="341">
        <f t="shared" si="10"/>
        <v>5766537.8291387185</v>
      </c>
      <c r="X52" s="342">
        <f t="shared" si="16"/>
        <v>0</v>
      </c>
      <c r="Y52" s="239">
        <f t="shared" si="11"/>
        <v>850718.19</v>
      </c>
      <c r="Z52" s="255">
        <f t="shared" si="12"/>
        <v>1.5281402982241109E-2</v>
      </c>
      <c r="AA52" s="240">
        <f t="shared" si="17"/>
        <v>25828.56986782973</v>
      </c>
      <c r="AB52" s="238">
        <f>ROUND($C52*Allocations!$B$16,2)</f>
        <v>826983.92</v>
      </c>
      <c r="AC52" s="241">
        <f>$C52*Allocations!$B$24</f>
        <v>0</v>
      </c>
      <c r="AD52" s="244">
        <f t="shared" si="18"/>
        <v>2070938.76</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3">
        <v>658595.92028270895</v>
      </c>
      <c r="G53" s="240">
        <v>133231.59</v>
      </c>
      <c r="H53" s="429">
        <v>578495.67000000004</v>
      </c>
      <c r="I53" s="390">
        <f>$C53*Allocations!$B$16</f>
        <v>570579.82128945866</v>
      </c>
      <c r="J53" s="237">
        <f t="shared" si="6"/>
        <v>2738689.0838440475</v>
      </c>
      <c r="K53" s="165">
        <f t="shared" si="7"/>
        <v>684672.27</v>
      </c>
      <c r="L53" s="815">
        <v>-530935.56000000006</v>
      </c>
      <c r="M53" s="427">
        <f t="shared" si="8"/>
        <v>39644.261289458605</v>
      </c>
      <c r="N53" s="239">
        <f t="shared" si="13"/>
        <v>838711.73</v>
      </c>
      <c r="O53" s="240">
        <f t="shared" si="14"/>
        <v>838711.73</v>
      </c>
      <c r="P53" s="319"/>
      <c r="Q53" s="320"/>
      <c r="R53" s="320"/>
      <c r="S53" s="321"/>
      <c r="T53" s="330">
        <f>'Project Final Cost Tracking'!C52</f>
        <v>0</v>
      </c>
      <c r="U53" s="341">
        <f t="shared" si="9"/>
        <v>-799067.46871054138</v>
      </c>
      <c r="V53" s="340">
        <f t="shared" si="15"/>
        <v>-1.1670802276110019</v>
      </c>
      <c r="W53" s="341">
        <f t="shared" si="10"/>
        <v>1768541.7270920225</v>
      </c>
      <c r="X53" s="342">
        <f t="shared" si="16"/>
        <v>0</v>
      </c>
      <c r="Y53" s="239">
        <f t="shared" si="11"/>
        <v>578495.67000000004</v>
      </c>
      <c r="Z53" s="255">
        <f t="shared" si="12"/>
        <v>1.0391485171783585E-2</v>
      </c>
      <c r="AA53" s="240">
        <f t="shared" si="17"/>
        <v>17563.649168982709</v>
      </c>
      <c r="AB53" s="238">
        <f>ROUND($C53*Allocations!$B$16,2)</f>
        <v>570579.81999999995</v>
      </c>
      <c r="AC53" s="241">
        <f>$C53*Allocations!$B$24</f>
        <v>0</v>
      </c>
      <c r="AD53" s="244">
        <f t="shared" si="18"/>
        <v>-781503.82</v>
      </c>
      <c r="AE53" s="153"/>
      <c r="AF53" s="141"/>
      <c r="AG53" s="151"/>
      <c r="AH53" s="146"/>
      <c r="AI53" s="145"/>
      <c r="AJ53" s="146"/>
      <c r="AK53" s="151"/>
      <c r="AL53" s="146"/>
      <c r="AM53" s="145"/>
      <c r="AN53" s="146"/>
      <c r="AO53" s="145"/>
      <c r="AP53" s="146"/>
      <c r="AQ53" s="145">
        <f>Jackson!C11</f>
        <v>838711.73</v>
      </c>
      <c r="AR53" s="146">
        <f>Jackson!D11</f>
        <v>838711.73</v>
      </c>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1">
        <v>1089417.3969308091</v>
      </c>
      <c r="G54" s="343">
        <v>220385.23</v>
      </c>
      <c r="H54" s="430">
        <v>1067486.58</v>
      </c>
      <c r="I54" s="391">
        <f>$C54*Allocations!$B$16</f>
        <v>1080474.2315559098</v>
      </c>
      <c r="J54" s="387">
        <f t="shared" si="6"/>
        <v>4782821.2660397533</v>
      </c>
      <c r="K54" s="168">
        <f t="shared" si="7"/>
        <v>1195705.32</v>
      </c>
      <c r="L54" s="816">
        <v>334068.14</v>
      </c>
      <c r="M54" s="428">
        <f t="shared" si="8"/>
        <v>1414542.37155591</v>
      </c>
      <c r="N54" s="305">
        <f t="shared" si="13"/>
        <v>4763848.0600000005</v>
      </c>
      <c r="O54" s="343">
        <f t="shared" si="14"/>
        <v>4763848.0600000005</v>
      </c>
      <c r="P54" s="344"/>
      <c r="Q54" s="345"/>
      <c r="R54" s="345"/>
      <c r="S54" s="346"/>
      <c r="T54" s="188">
        <f>'Project Final Cost Tracking'!C53</f>
        <v>164218.33000000007</v>
      </c>
      <c r="U54" s="348">
        <f t="shared" si="9"/>
        <v>-3513524.0184440906</v>
      </c>
      <c r="V54" s="347">
        <f t="shared" si="15"/>
        <v>-2.9384531118788453</v>
      </c>
      <c r="W54" s="348">
        <f t="shared" si="10"/>
        <v>1348610.0235575032</v>
      </c>
      <c r="X54" s="349">
        <f t="shared" si="16"/>
        <v>0</v>
      </c>
      <c r="Y54" s="305">
        <f t="shared" si="11"/>
        <v>1067486.58</v>
      </c>
      <c r="Z54" s="350">
        <f t="shared" si="12"/>
        <v>1.9175201375574637E-2</v>
      </c>
      <c r="AA54" s="343">
        <f t="shared" si="17"/>
        <v>32409.853272915931</v>
      </c>
      <c r="AB54" s="233">
        <f>ROUND($C54*Allocations!$B$16,2)</f>
        <v>1080474.23</v>
      </c>
      <c r="AC54" s="242">
        <f>$C54*Allocations!$B$24</f>
        <v>0</v>
      </c>
      <c r="AD54" s="246">
        <f t="shared" si="18"/>
        <v>-3481114.17</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3">
        <v>488258.70163926732</v>
      </c>
      <c r="G55" s="240">
        <v>98772.98</v>
      </c>
      <c r="H55" s="429">
        <v>453614.05</v>
      </c>
      <c r="I55" s="390">
        <f>$C55*Allocations!$B$16</f>
        <v>468310.87043556111</v>
      </c>
      <c r="J55" s="237">
        <f t="shared" si="6"/>
        <v>2138986.8848514315</v>
      </c>
      <c r="K55" s="165">
        <f t="shared" si="7"/>
        <v>534746.72</v>
      </c>
      <c r="L55" s="815">
        <v>1519874.36</v>
      </c>
      <c r="M55" s="427">
        <f t="shared" si="8"/>
        <v>1988185.2304355612</v>
      </c>
      <c r="N55" s="239">
        <f t="shared" si="13"/>
        <v>0</v>
      </c>
      <c r="O55" s="240">
        <f t="shared" si="14"/>
        <v>0</v>
      </c>
      <c r="P55" s="319"/>
      <c r="Q55" s="320"/>
      <c r="R55" s="320"/>
      <c r="S55" s="321"/>
      <c r="T55" s="330">
        <f>'Project Final Cost Tracking'!C54</f>
        <v>695.30000000004657</v>
      </c>
      <c r="U55" s="341">
        <f t="shared" si="9"/>
        <v>1987489.9304355611</v>
      </c>
      <c r="V55" s="340">
        <f t="shared" si="15"/>
        <v>3.7166940087740254</v>
      </c>
      <c r="W55" s="341">
        <f t="shared" si="10"/>
        <v>4094888.8473955863</v>
      </c>
      <c r="X55" s="342">
        <f t="shared" si="16"/>
        <v>0</v>
      </c>
      <c r="Y55" s="239">
        <f t="shared" si="11"/>
        <v>453614.05</v>
      </c>
      <c r="Z55" s="255">
        <f t="shared" si="12"/>
        <v>8.1482436580514028E-3</v>
      </c>
      <c r="AA55" s="240">
        <f t="shared" si="17"/>
        <v>13772.130796279565</v>
      </c>
      <c r="AB55" s="238">
        <f>ROUND($C55*Allocations!$B$16,2)</f>
        <v>468310.87</v>
      </c>
      <c r="AC55" s="241">
        <f>$C55*Allocations!$B$24</f>
        <v>0</v>
      </c>
      <c r="AD55" s="244">
        <f t="shared" si="18"/>
        <v>2001262.06</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3">
        <v>561376.07937506167</v>
      </c>
      <c r="G56" s="240">
        <v>113564.36</v>
      </c>
      <c r="H56" s="429">
        <v>534126.61</v>
      </c>
      <c r="I56" s="390">
        <f>$C56*Allocations!$B$16</f>
        <v>490797.04092493822</v>
      </c>
      <c r="J56" s="237">
        <f t="shared" si="6"/>
        <v>2235485.5260960972</v>
      </c>
      <c r="K56" s="165">
        <f t="shared" si="7"/>
        <v>558871.38</v>
      </c>
      <c r="L56" s="815">
        <v>1079948.28</v>
      </c>
      <c r="M56" s="427">
        <f t="shared" si="8"/>
        <v>1570745.3209249382</v>
      </c>
      <c r="N56" s="239">
        <f t="shared" si="13"/>
        <v>0</v>
      </c>
      <c r="O56" s="240">
        <f t="shared" si="14"/>
        <v>0</v>
      </c>
      <c r="P56" s="319"/>
      <c r="Q56" s="320"/>
      <c r="R56" s="320"/>
      <c r="S56" s="321"/>
      <c r="T56" s="330">
        <f>'Project Final Cost Tracking'!C55</f>
        <v>0</v>
      </c>
      <c r="U56" s="341">
        <f t="shared" si="9"/>
        <v>1570745.3209249382</v>
      </c>
      <c r="V56" s="340">
        <f t="shared" si="15"/>
        <v>2.8105667549569961</v>
      </c>
      <c r="W56" s="341">
        <f t="shared" si="10"/>
        <v>3779332.00508716</v>
      </c>
      <c r="X56" s="342">
        <f t="shared" si="16"/>
        <v>0</v>
      </c>
      <c r="Y56" s="239">
        <f t="shared" si="11"/>
        <v>534126.61</v>
      </c>
      <c r="Z56" s="255">
        <f t="shared" si="12"/>
        <v>9.5944862433802371E-3</v>
      </c>
      <c r="AA56" s="240">
        <f t="shared" si="17"/>
        <v>16216.564576633826</v>
      </c>
      <c r="AB56" s="238">
        <f>ROUND($C56*Allocations!$B$16,2)</f>
        <v>490797.04</v>
      </c>
      <c r="AC56" s="241">
        <f>$C56*Allocations!$B$24</f>
        <v>0</v>
      </c>
      <c r="AD56" s="244">
        <f t="shared" si="18"/>
        <v>1586961.88</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3">
        <v>255028.67305509798</v>
      </c>
      <c r="G57" s="240">
        <v>51591.38</v>
      </c>
      <c r="H57" s="429">
        <v>248668.24</v>
      </c>
      <c r="I57" s="390">
        <f>$C57*Allocations!$B$16</f>
        <v>262141.32136290302</v>
      </c>
      <c r="J57" s="237">
        <f t="shared" si="6"/>
        <v>1134695.4209261816</v>
      </c>
      <c r="K57" s="165">
        <f t="shared" si="7"/>
        <v>283673.86</v>
      </c>
      <c r="L57" s="815">
        <v>1063452.58</v>
      </c>
      <c r="M57" s="427">
        <f t="shared" si="8"/>
        <v>1325593.9013629032</v>
      </c>
      <c r="N57" s="239">
        <f t="shared" si="13"/>
        <v>534526.9</v>
      </c>
      <c r="O57" s="240">
        <f t="shared" si="14"/>
        <v>534526.9</v>
      </c>
      <c r="P57" s="319"/>
      <c r="Q57" s="320"/>
      <c r="R57" s="320"/>
      <c r="S57" s="321"/>
      <c r="T57" s="330">
        <f>'Project Final Cost Tracking'!C56</f>
        <v>0</v>
      </c>
      <c r="U57" s="341">
        <f t="shared" si="9"/>
        <v>791067.00136290316</v>
      </c>
      <c r="V57" s="340">
        <f t="shared" si="15"/>
        <v>2.7886496181315517</v>
      </c>
      <c r="W57" s="341">
        <f t="shared" si="10"/>
        <v>1970702.9474959667</v>
      </c>
      <c r="X57" s="342">
        <f t="shared" si="16"/>
        <v>0</v>
      </c>
      <c r="Y57" s="239">
        <f t="shared" si="11"/>
        <v>248668.24</v>
      </c>
      <c r="Z57" s="255">
        <f t="shared" si="12"/>
        <v>4.46681360407334E-3</v>
      </c>
      <c r="AA57" s="240">
        <f t="shared" si="17"/>
        <v>7549.7915599409635</v>
      </c>
      <c r="AB57" s="238">
        <f>ROUND($C57*Allocations!$B$16,2)</f>
        <v>262141.32</v>
      </c>
      <c r="AC57" s="241">
        <f>$C57*Allocations!$B$24</f>
        <v>0</v>
      </c>
      <c r="AD57" s="244">
        <f t="shared" si="18"/>
        <v>798616.79</v>
      </c>
      <c r="AE57" s="153"/>
      <c r="AF57" s="141"/>
      <c r="AG57" s="151"/>
      <c r="AH57" s="146"/>
      <c r="AI57" s="145"/>
      <c r="AJ57" s="146"/>
      <c r="AK57" s="151"/>
      <c r="AL57" s="146"/>
      <c r="AM57" s="145"/>
      <c r="AN57" s="146"/>
      <c r="AO57" s="145"/>
      <c r="AP57" s="146"/>
      <c r="AQ57" s="145">
        <f>Jones!C4</f>
        <v>534526.9</v>
      </c>
      <c r="AR57" s="146">
        <f>Jones!D4</f>
        <v>534526.9</v>
      </c>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3">
        <v>416906.11318583705</v>
      </c>
      <c r="G58" s="240">
        <v>84338.61</v>
      </c>
      <c r="H58" s="429">
        <v>426093.06</v>
      </c>
      <c r="I58" s="390">
        <f>$C58*Allocations!$B$16</f>
        <v>415873.03611976956</v>
      </c>
      <c r="J58" s="237">
        <f t="shared" si="6"/>
        <v>1842793.3881009093</v>
      </c>
      <c r="K58" s="165">
        <f t="shared" si="7"/>
        <v>460698.35</v>
      </c>
      <c r="L58" s="815">
        <v>102856.15</v>
      </c>
      <c r="M58" s="427">
        <f t="shared" si="8"/>
        <v>518729.18611976958</v>
      </c>
      <c r="N58" s="239">
        <f t="shared" si="13"/>
        <v>0</v>
      </c>
      <c r="O58" s="240">
        <f t="shared" si="14"/>
        <v>0</v>
      </c>
      <c r="P58" s="319"/>
      <c r="Q58" s="320"/>
      <c r="R58" s="320"/>
      <c r="S58" s="321"/>
      <c r="T58" s="330">
        <f>'Project Final Cost Tracking'!C57</f>
        <v>0</v>
      </c>
      <c r="U58" s="341">
        <f t="shared" si="9"/>
        <v>518729.18611976958</v>
      </c>
      <c r="V58" s="340">
        <f t="shared" si="15"/>
        <v>1.1259627609253855</v>
      </c>
      <c r="W58" s="341">
        <f t="shared" si="10"/>
        <v>2390157.8486587326</v>
      </c>
      <c r="X58" s="342">
        <f t="shared" si="16"/>
        <v>0</v>
      </c>
      <c r="Y58" s="239">
        <f t="shared" si="11"/>
        <v>426093.06</v>
      </c>
      <c r="Z58" s="255">
        <f t="shared" si="12"/>
        <v>7.6538856631198169E-3</v>
      </c>
      <c r="AA58" s="240">
        <f t="shared" si="17"/>
        <v>12936.568771860122</v>
      </c>
      <c r="AB58" s="238">
        <f>ROUND($C58*Allocations!$B$16,2)</f>
        <v>415873.04</v>
      </c>
      <c r="AC58" s="241">
        <f>$C58*Allocations!$B$24</f>
        <v>0</v>
      </c>
      <c r="AD58" s="244">
        <f t="shared" si="18"/>
        <v>531665.76</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1">
        <v>730899.78186212445</v>
      </c>
      <c r="G59" s="343">
        <v>147858.4</v>
      </c>
      <c r="H59" s="430">
        <v>658257.48</v>
      </c>
      <c r="I59" s="391">
        <f>$C59*Allocations!$B$16</f>
        <v>669228.25200652203</v>
      </c>
      <c r="J59" s="387">
        <f t="shared" si="6"/>
        <v>2963313.1997808898</v>
      </c>
      <c r="K59" s="168">
        <f t="shared" si="7"/>
        <v>740828.3</v>
      </c>
      <c r="L59" s="816">
        <v>-1245449.21</v>
      </c>
      <c r="M59" s="428">
        <f t="shared" si="8"/>
        <v>-576220.95799347793</v>
      </c>
      <c r="N59" s="305">
        <f t="shared" si="13"/>
        <v>0</v>
      </c>
      <c r="O59" s="343">
        <f t="shared" si="14"/>
        <v>0</v>
      </c>
      <c r="P59" s="344"/>
      <c r="Q59" s="345"/>
      <c r="R59" s="345"/>
      <c r="S59" s="346"/>
      <c r="T59" s="188">
        <f>'Project Final Cost Tracking'!C58</f>
        <v>46922.20000000007</v>
      </c>
      <c r="U59" s="348">
        <f t="shared" si="9"/>
        <v>-623143.157993478</v>
      </c>
      <c r="V59" s="347">
        <f t="shared" si="15"/>
        <v>-0.8411438358840746</v>
      </c>
      <c r="W59" s="348">
        <f t="shared" si="10"/>
        <v>2388383.9760358715</v>
      </c>
      <c r="X59" s="349">
        <f t="shared" si="16"/>
        <v>0</v>
      </c>
      <c r="Y59" s="305">
        <f t="shared" si="11"/>
        <v>658257.48</v>
      </c>
      <c r="Z59" s="350">
        <f t="shared" si="12"/>
        <v>1.1824242077102545E-2</v>
      </c>
      <c r="AA59" s="343">
        <f t="shared" si="17"/>
        <v>19985.289503685741</v>
      </c>
      <c r="AB59" s="233">
        <f>ROUND($C59*Allocations!$B$16,2)</f>
        <v>669228.25</v>
      </c>
      <c r="AC59" s="242">
        <f>$C59*Allocations!$B$24</f>
        <v>0</v>
      </c>
      <c r="AD59" s="246">
        <f t="shared" si="18"/>
        <v>-603157.87</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3">
        <v>335629.30966596591</v>
      </c>
      <c r="G60" s="240">
        <v>67896.600000000006</v>
      </c>
      <c r="H60" s="429">
        <v>398044.13</v>
      </c>
      <c r="I60" s="390">
        <f>$C60*Allocations!$B$16</f>
        <v>395925.73467823333</v>
      </c>
      <c r="J60" s="237">
        <f t="shared" si="6"/>
        <v>1645153.5933079375</v>
      </c>
      <c r="K60" s="165">
        <f t="shared" si="7"/>
        <v>411288.4</v>
      </c>
      <c r="L60" s="815">
        <v>1346192.68</v>
      </c>
      <c r="M60" s="427">
        <f t="shared" si="8"/>
        <v>1742118.4146782332</v>
      </c>
      <c r="N60" s="239">
        <f t="shared" si="13"/>
        <v>0</v>
      </c>
      <c r="O60" s="240">
        <f t="shared" si="14"/>
        <v>0</v>
      </c>
      <c r="P60" s="319"/>
      <c r="Q60" s="320"/>
      <c r="R60" s="320"/>
      <c r="S60" s="321"/>
      <c r="T60" s="330">
        <f>'Project Final Cost Tracking'!C59</f>
        <v>-27751.200000000041</v>
      </c>
      <c r="U60" s="341">
        <f t="shared" si="9"/>
        <v>1769869.6146782332</v>
      </c>
      <c r="V60" s="340">
        <f t="shared" si="15"/>
        <v>4.303232511975132</v>
      </c>
      <c r="W60" s="341">
        <f t="shared" si="10"/>
        <v>3551535.4207302835</v>
      </c>
      <c r="X60" s="342">
        <f t="shared" si="16"/>
        <v>124716.02137029567</v>
      </c>
      <c r="Y60" s="239">
        <f t="shared" si="11"/>
        <v>0</v>
      </c>
      <c r="Z60" s="255">
        <f t="shared" si="12"/>
        <v>0</v>
      </c>
      <c r="AA60" s="240">
        <f t="shared" si="17"/>
        <v>0</v>
      </c>
      <c r="AB60" s="238">
        <f>ROUND($C60*Allocations!$B$16,2)</f>
        <v>395925.73</v>
      </c>
      <c r="AC60" s="241">
        <f>$C60*Allocations!$B$24</f>
        <v>0</v>
      </c>
      <c r="AD60" s="244">
        <f t="shared" si="18"/>
        <v>1645153.59</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3">
        <v>686178.61298206169</v>
      </c>
      <c r="G61" s="240">
        <v>138811.47</v>
      </c>
      <c r="H61" s="429">
        <v>584506.69999999995</v>
      </c>
      <c r="I61" s="390">
        <f>$C61*Allocations!$B$16</f>
        <v>560978.39251412707</v>
      </c>
      <c r="J61" s="237">
        <f t="shared" si="6"/>
        <v>2791484.851160205</v>
      </c>
      <c r="K61" s="165">
        <f t="shared" si="7"/>
        <v>697871.21</v>
      </c>
      <c r="L61" s="815">
        <v>1720684.85</v>
      </c>
      <c r="M61" s="427">
        <f t="shared" si="8"/>
        <v>2281663.2425141269</v>
      </c>
      <c r="N61" s="239">
        <f t="shared" si="13"/>
        <v>0</v>
      </c>
      <c r="O61" s="240">
        <f t="shared" si="14"/>
        <v>0</v>
      </c>
      <c r="P61" s="319"/>
      <c r="Q61" s="320"/>
      <c r="R61" s="320"/>
      <c r="S61" s="321"/>
      <c r="T61" s="330">
        <f>'Project Final Cost Tracking'!C60</f>
        <v>0</v>
      </c>
      <c r="U61" s="341">
        <f t="shared" si="9"/>
        <v>2281663.2425141269</v>
      </c>
      <c r="V61" s="340">
        <f t="shared" si="15"/>
        <v>3.269461771483777</v>
      </c>
      <c r="W61" s="341">
        <f t="shared" si="10"/>
        <v>4806066.0088276993</v>
      </c>
      <c r="X61" s="342">
        <f t="shared" si="16"/>
        <v>0</v>
      </c>
      <c r="Y61" s="239">
        <f t="shared" si="11"/>
        <v>584506.69999999995</v>
      </c>
      <c r="Z61" s="255">
        <f t="shared" si="12"/>
        <v>1.0499460965469552E-2</v>
      </c>
      <c r="AA61" s="240">
        <f t="shared" si="17"/>
        <v>17746.149449519344</v>
      </c>
      <c r="AB61" s="238">
        <f>ROUND($C61*Allocations!$B$16,2)</f>
        <v>560978.39</v>
      </c>
      <c r="AC61" s="241">
        <f>$C61*Allocations!$B$24</f>
        <v>0</v>
      </c>
      <c r="AD61" s="244">
        <f t="shared" si="18"/>
        <v>2299409.39</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3">
        <v>256241.57807450608</v>
      </c>
      <c r="G62" s="240">
        <v>51836.75</v>
      </c>
      <c r="H62" s="429">
        <v>313681.28999999998</v>
      </c>
      <c r="I62" s="390">
        <f>$C62*Allocations!$B$16</f>
        <v>311011.62133859494</v>
      </c>
      <c r="J62" s="237">
        <f t="shared" si="6"/>
        <v>1257453.1482749954</v>
      </c>
      <c r="K62" s="165">
        <f t="shared" si="7"/>
        <v>314363.28999999998</v>
      </c>
      <c r="L62" s="815">
        <v>-1028414.28</v>
      </c>
      <c r="M62" s="427">
        <f t="shared" si="8"/>
        <v>-717402.65866140509</v>
      </c>
      <c r="N62" s="239">
        <f t="shared" si="13"/>
        <v>0</v>
      </c>
      <c r="O62" s="240">
        <f t="shared" si="14"/>
        <v>0</v>
      </c>
      <c r="P62" s="319"/>
      <c r="Q62" s="320"/>
      <c r="R62" s="320"/>
      <c r="S62" s="321"/>
      <c r="T62" s="330">
        <f>'Project Final Cost Tracking'!C61</f>
        <v>0</v>
      </c>
      <c r="U62" s="341">
        <f t="shared" si="9"/>
        <v>-717402.65866140509</v>
      </c>
      <c r="V62" s="340">
        <f t="shared" si="15"/>
        <v>-2.2820815326796113</v>
      </c>
      <c r="W62" s="341">
        <f t="shared" si="10"/>
        <v>682149.63736227201</v>
      </c>
      <c r="X62" s="342">
        <f t="shared" si="16"/>
        <v>0</v>
      </c>
      <c r="Y62" s="239">
        <f t="shared" si="11"/>
        <v>313681.28999999998</v>
      </c>
      <c r="Z62" s="255">
        <f t="shared" si="12"/>
        <v>5.6346393633351583E-3</v>
      </c>
      <c r="AA62" s="240">
        <f t="shared" si="17"/>
        <v>9523.646267627073</v>
      </c>
      <c r="AB62" s="238">
        <f>ROUND($C62*Allocations!$B$16,2)</f>
        <v>311011.62</v>
      </c>
      <c r="AC62" s="241">
        <f>$C62*Allocations!$B$24</f>
        <v>0</v>
      </c>
      <c r="AD62" s="244">
        <f t="shared" si="18"/>
        <v>-707879.01</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3">
        <v>382555.79384919128</v>
      </c>
      <c r="G63" s="240">
        <v>77389.66</v>
      </c>
      <c r="H63" s="429">
        <v>432805.44</v>
      </c>
      <c r="I63" s="390">
        <f>$C63*Allocations!$B$16</f>
        <v>469221.01251837244</v>
      </c>
      <c r="J63" s="237">
        <f t="shared" si="6"/>
        <v>1759858.1166679175</v>
      </c>
      <c r="K63" s="165">
        <f t="shared" si="7"/>
        <v>439964.53</v>
      </c>
      <c r="L63" s="815">
        <v>1295532.18</v>
      </c>
      <c r="M63" s="427">
        <f t="shared" si="8"/>
        <v>1764753.1925183723</v>
      </c>
      <c r="N63" s="239">
        <f t="shared" si="13"/>
        <v>0</v>
      </c>
      <c r="O63" s="240">
        <f t="shared" si="14"/>
        <v>0</v>
      </c>
      <c r="P63" s="319"/>
      <c r="Q63" s="320"/>
      <c r="R63" s="320"/>
      <c r="S63" s="321"/>
      <c r="T63" s="330">
        <f>'Project Final Cost Tracking'!C62</f>
        <v>0</v>
      </c>
      <c r="U63" s="341">
        <f t="shared" si="9"/>
        <v>1764753.1925183723</v>
      </c>
      <c r="V63" s="340">
        <f t="shared" si="15"/>
        <v>4.0111260617267765</v>
      </c>
      <c r="W63" s="341">
        <f t="shared" si="10"/>
        <v>3876247.7488510488</v>
      </c>
      <c r="X63" s="342">
        <f t="shared" si="16"/>
        <v>4895.0758504548576</v>
      </c>
      <c r="Y63" s="239">
        <f t="shared" si="11"/>
        <v>0</v>
      </c>
      <c r="Z63" s="255">
        <f t="shared" si="12"/>
        <v>0</v>
      </c>
      <c r="AA63" s="240">
        <f t="shared" si="17"/>
        <v>0</v>
      </c>
      <c r="AB63" s="238">
        <f>ROUND($C63*Allocations!$B$16,2)</f>
        <v>469221.01</v>
      </c>
      <c r="AC63" s="241">
        <f>$C63*Allocations!$B$24</f>
        <v>0</v>
      </c>
      <c r="AD63" s="244">
        <f t="shared" si="18"/>
        <v>1759858.11</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1">
        <v>834486.11070044199</v>
      </c>
      <c r="G64" s="343">
        <v>168813.54</v>
      </c>
      <c r="H64" s="430">
        <v>912167.73</v>
      </c>
      <c r="I64" s="391">
        <f>$C64*Allocations!$B$16</f>
        <v>994246.36320612486</v>
      </c>
      <c r="J64" s="387">
        <f t="shared" si="6"/>
        <v>3891941.8912956584</v>
      </c>
      <c r="K64" s="168">
        <f t="shared" si="7"/>
        <v>972985.47</v>
      </c>
      <c r="L64" s="816">
        <v>1449371.94</v>
      </c>
      <c r="M64" s="428">
        <f t="shared" si="8"/>
        <v>2443618.3032061248</v>
      </c>
      <c r="N64" s="305">
        <f t="shared" si="13"/>
        <v>505988.6</v>
      </c>
      <c r="O64" s="343">
        <f t="shared" si="14"/>
        <v>505988.6</v>
      </c>
      <c r="P64" s="344"/>
      <c r="Q64" s="345"/>
      <c r="R64" s="345"/>
      <c r="S64" s="346"/>
      <c r="T64" s="188">
        <f>'Project Final Cost Tracking'!C63</f>
        <v>-40077</v>
      </c>
      <c r="U64" s="348">
        <f t="shared" si="9"/>
        <v>1977706.7032061247</v>
      </c>
      <c r="V64" s="347">
        <f t="shared" si="15"/>
        <v>2.0326168932472597</v>
      </c>
      <c r="W64" s="348">
        <f t="shared" si="10"/>
        <v>6451815.3376336871</v>
      </c>
      <c r="X64" s="349">
        <f t="shared" si="16"/>
        <v>0</v>
      </c>
      <c r="Y64" s="305">
        <f t="shared" si="11"/>
        <v>912167.73</v>
      </c>
      <c r="Z64" s="350">
        <f t="shared" si="12"/>
        <v>1.6385217611869923E-2</v>
      </c>
      <c r="AA64" s="343">
        <f t="shared" si="17"/>
        <v>27694.233204869695</v>
      </c>
      <c r="AB64" s="233">
        <f>ROUND($C64*Allocations!$B$16,2)</f>
        <v>994246.36</v>
      </c>
      <c r="AC64" s="242">
        <f>$C64*Allocations!$B$24</f>
        <v>0</v>
      </c>
      <c r="AD64" s="246">
        <f t="shared" si="18"/>
        <v>2005400.93</v>
      </c>
      <c r="AE64" s="162"/>
      <c r="AF64" s="159"/>
      <c r="AG64" s="174"/>
      <c r="AH64" s="157"/>
      <c r="AI64" s="156"/>
      <c r="AJ64" s="157"/>
      <c r="AK64" s="174"/>
      <c r="AL64" s="157"/>
      <c r="AM64" s="156"/>
      <c r="AN64" s="157"/>
      <c r="AO64" s="156"/>
      <c r="AP64" s="157"/>
      <c r="AQ64" s="156"/>
      <c r="AR64" s="157"/>
      <c r="AS64" s="156"/>
      <c r="AT64" s="157"/>
      <c r="AU64" s="156">
        <f>Lyon!C9</f>
        <v>505988.6</v>
      </c>
      <c r="AV64" s="157">
        <f>Lyon!D9</f>
        <v>505988.6</v>
      </c>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3">
        <v>953438.22824239614</v>
      </c>
      <c r="G65" s="240">
        <v>192877.13</v>
      </c>
      <c r="H65" s="429">
        <v>934470.39</v>
      </c>
      <c r="I65" s="390">
        <f>$C65*Allocations!$B$16</f>
        <v>927849.1665300962</v>
      </c>
      <c r="J65" s="237">
        <f t="shared" si="6"/>
        <v>4224278.6227842886</v>
      </c>
      <c r="K65" s="165">
        <f t="shared" si="7"/>
        <v>1056069.6599999999</v>
      </c>
      <c r="L65" s="815">
        <v>-286281.28999999998</v>
      </c>
      <c r="M65" s="427">
        <f t="shared" si="8"/>
        <v>641567.87653009617</v>
      </c>
      <c r="N65" s="239">
        <f t="shared" si="13"/>
        <v>2266867.37</v>
      </c>
      <c r="O65" s="240">
        <f t="shared" si="14"/>
        <v>1306867.3700000001</v>
      </c>
      <c r="P65" s="319"/>
      <c r="Q65" s="320"/>
      <c r="R65" s="320"/>
      <c r="S65" s="321"/>
      <c r="T65" s="330">
        <f>'Project Final Cost Tracking'!C64</f>
        <v>0</v>
      </c>
      <c r="U65" s="341">
        <f t="shared" si="9"/>
        <v>-665299.49346990394</v>
      </c>
      <c r="V65" s="340">
        <f t="shared" si="15"/>
        <v>-0.62997690272619322</v>
      </c>
      <c r="W65" s="341">
        <f t="shared" si="10"/>
        <v>3510021.7559155291</v>
      </c>
      <c r="X65" s="342">
        <f t="shared" si="16"/>
        <v>0</v>
      </c>
      <c r="Y65" s="239">
        <f t="shared" si="11"/>
        <v>934470.39</v>
      </c>
      <c r="Z65" s="255">
        <f t="shared" si="12"/>
        <v>1.6785839038615143E-2</v>
      </c>
      <c r="AA65" s="240">
        <f t="shared" si="17"/>
        <v>28371.362034157399</v>
      </c>
      <c r="AB65" s="238">
        <f>ROUND($C65*Allocations!$B$16,2)</f>
        <v>927849.17</v>
      </c>
      <c r="AC65" s="241">
        <f>$C65*Allocations!$B$24</f>
        <v>0</v>
      </c>
      <c r="AD65" s="244">
        <f t="shared" si="18"/>
        <v>-636928.13</v>
      </c>
      <c r="AE65" s="153"/>
      <c r="AF65" s="141"/>
      <c r="AG65" s="151"/>
      <c r="AH65" s="146"/>
      <c r="AI65" s="145"/>
      <c r="AJ65" s="146"/>
      <c r="AK65" s="151"/>
      <c r="AL65" s="146"/>
      <c r="AM65" s="145"/>
      <c r="AN65" s="146"/>
      <c r="AO65" s="145"/>
      <c r="AP65" s="146"/>
      <c r="AQ65" s="145">
        <f>Madison!C10</f>
        <v>1669266.76</v>
      </c>
      <c r="AR65" s="146">
        <f>Madison!D10</f>
        <v>709266.76</v>
      </c>
      <c r="AS65" s="145">
        <f>Madison!C11</f>
        <v>597600.61</v>
      </c>
      <c r="AT65" s="146">
        <f>Madison!D11</f>
        <v>597600.61</v>
      </c>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3">
        <v>930621.22638067033</v>
      </c>
      <c r="G66" s="240">
        <v>188261.33</v>
      </c>
      <c r="H66" s="429">
        <v>904721.06</v>
      </c>
      <c r="I66" s="390">
        <f>$C66*Allocations!$B$16</f>
        <v>804619.25813222001</v>
      </c>
      <c r="J66" s="237">
        <f t="shared" si="6"/>
        <v>3963181.5296755452</v>
      </c>
      <c r="K66" s="165">
        <f t="shared" si="7"/>
        <v>990795.38</v>
      </c>
      <c r="L66" s="815">
        <v>1606824.26</v>
      </c>
      <c r="M66" s="427">
        <f t="shared" si="8"/>
        <v>2411443.51813222</v>
      </c>
      <c r="N66" s="239">
        <f t="shared" si="13"/>
        <v>0</v>
      </c>
      <c r="O66" s="240">
        <f t="shared" si="14"/>
        <v>0</v>
      </c>
      <c r="P66" s="319"/>
      <c r="Q66" s="320"/>
      <c r="R66" s="320"/>
      <c r="S66" s="321"/>
      <c r="T66" s="330">
        <f>'Project Final Cost Tracking'!C65</f>
        <v>0</v>
      </c>
      <c r="U66" s="341">
        <f t="shared" si="9"/>
        <v>2411443.51813222</v>
      </c>
      <c r="V66" s="340">
        <f t="shared" si="15"/>
        <v>2.4338461470543193</v>
      </c>
      <c r="W66" s="341">
        <f t="shared" si="10"/>
        <v>6032230.1797272097</v>
      </c>
      <c r="X66" s="342">
        <f t="shared" si="16"/>
        <v>0</v>
      </c>
      <c r="Y66" s="239">
        <f t="shared" si="11"/>
        <v>904721.06</v>
      </c>
      <c r="Z66" s="255">
        <f t="shared" si="12"/>
        <v>1.6251453497638672E-2</v>
      </c>
      <c r="AA66" s="240">
        <f t="shared" si="17"/>
        <v>27468.145601902528</v>
      </c>
      <c r="AB66" s="238">
        <f>ROUND($C66*Allocations!$B$16,2)</f>
        <v>804619.26</v>
      </c>
      <c r="AC66" s="241">
        <f>$C66*Allocations!$B$24</f>
        <v>0</v>
      </c>
      <c r="AD66" s="244">
        <f t="shared" si="18"/>
        <v>2438911.67</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3">
        <v>479488.49295222393</v>
      </c>
      <c r="G67" s="240">
        <v>96998.8</v>
      </c>
      <c r="H67" s="429">
        <v>460104.02</v>
      </c>
      <c r="I67" s="390">
        <f>$C67*Allocations!$B$16</f>
        <v>412024.64805108495</v>
      </c>
      <c r="J67" s="237">
        <f t="shared" si="6"/>
        <v>2020694.0655232039</v>
      </c>
      <c r="K67" s="165">
        <f t="shared" si="7"/>
        <v>505173.52</v>
      </c>
      <c r="L67" s="815">
        <v>-340260.77</v>
      </c>
      <c r="M67" s="427">
        <f t="shared" si="8"/>
        <v>71763.878051084932</v>
      </c>
      <c r="N67" s="239">
        <f t="shared" si="13"/>
        <v>0</v>
      </c>
      <c r="O67" s="240">
        <f t="shared" si="14"/>
        <v>0</v>
      </c>
      <c r="P67" s="319"/>
      <c r="Q67" s="320"/>
      <c r="R67" s="320"/>
      <c r="S67" s="321"/>
      <c r="T67" s="330">
        <f>'Project Final Cost Tracking'!C66</f>
        <v>0</v>
      </c>
      <c r="U67" s="341">
        <f t="shared" si="9"/>
        <v>71763.878051084932</v>
      </c>
      <c r="V67" s="340">
        <f t="shared" si="15"/>
        <v>0.14205787756073385</v>
      </c>
      <c r="W67" s="341">
        <f t="shared" si="10"/>
        <v>1925874.7942809672</v>
      </c>
      <c r="X67" s="342">
        <f t="shared" si="16"/>
        <v>0</v>
      </c>
      <c r="Y67" s="239">
        <f t="shared" si="11"/>
        <v>460104.02</v>
      </c>
      <c r="Z67" s="255">
        <f t="shared" si="12"/>
        <v>8.2648226240103363E-3</v>
      </c>
      <c r="AA67" s="240">
        <f t="shared" si="17"/>
        <v>13969.172126247035</v>
      </c>
      <c r="AB67" s="238">
        <f>ROUND($C67*Allocations!$B$16,2)</f>
        <v>412024.65</v>
      </c>
      <c r="AC67" s="241">
        <f>$C67*Allocations!$B$24</f>
        <v>0</v>
      </c>
      <c r="AD67" s="244">
        <f t="shared" si="18"/>
        <v>85733.05</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3">
        <v>1360320.3815775551</v>
      </c>
      <c r="G68" s="240">
        <v>275187.93</v>
      </c>
      <c r="H68" s="429">
        <v>1410814.75</v>
      </c>
      <c r="I68" s="390">
        <f>$C68*Allocations!$B$16</f>
        <v>1403405.5601493397</v>
      </c>
      <c r="J68" s="237">
        <f t="shared" si="6"/>
        <v>5962357.2389221415</v>
      </c>
      <c r="K68" s="165">
        <f t="shared" si="7"/>
        <v>1490589.31</v>
      </c>
      <c r="L68" s="815">
        <v>2523469.64</v>
      </c>
      <c r="M68" s="427">
        <f t="shared" si="8"/>
        <v>3926875.2001493396</v>
      </c>
      <c r="N68" s="239">
        <f t="shared" si="13"/>
        <v>1129477.57</v>
      </c>
      <c r="O68" s="240">
        <f t="shared" si="14"/>
        <v>1129477.57</v>
      </c>
      <c r="P68" s="319"/>
      <c r="Q68" s="320"/>
      <c r="R68" s="320"/>
      <c r="S68" s="321"/>
      <c r="T68" s="330">
        <f>'Project Final Cost Tracking'!C67</f>
        <v>0</v>
      </c>
      <c r="U68" s="341">
        <f t="shared" si="9"/>
        <v>2797397.6301493393</v>
      </c>
      <c r="V68" s="340">
        <f t="shared" si="15"/>
        <v>1.8767058178817473</v>
      </c>
      <c r="W68" s="341">
        <f t="shared" si="10"/>
        <v>9112722.6508213691</v>
      </c>
      <c r="X68" s="342">
        <f t="shared" si="16"/>
        <v>0</v>
      </c>
      <c r="Y68" s="239">
        <f t="shared" si="11"/>
        <v>1410814.75</v>
      </c>
      <c r="Z68" s="255">
        <f t="shared" si="12"/>
        <v>2.5342385976300504E-2</v>
      </c>
      <c r="AA68" s="240">
        <f t="shared" si="17"/>
        <v>42833.605498596124</v>
      </c>
      <c r="AB68" s="238">
        <f>ROUND($C68*Allocations!$B$16,2)</f>
        <v>1403405.56</v>
      </c>
      <c r="AC68" s="241">
        <f>$C68*Allocations!$B$24</f>
        <v>0</v>
      </c>
      <c r="AD68" s="244">
        <f t="shared" si="18"/>
        <v>2840231.24</v>
      </c>
      <c r="AE68" s="153"/>
      <c r="AF68" s="141"/>
      <c r="AG68" s="151"/>
      <c r="AH68" s="146"/>
      <c r="AI68" s="145"/>
      <c r="AJ68" s="146"/>
      <c r="AK68" s="834">
        <f>Marshall!C8+Marshall!C9</f>
        <v>285273.82</v>
      </c>
      <c r="AL68" s="835">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6" t="s">
        <v>852</v>
      </c>
    </row>
    <row r="69" spans="1:56" s="30" customFormat="1" ht="12.75">
      <c r="A69" s="98" t="s">
        <v>66</v>
      </c>
      <c r="B69" s="46">
        <v>65</v>
      </c>
      <c r="C69" s="248">
        <v>8.3072904024799714E-3</v>
      </c>
      <c r="D69" s="305">
        <v>472278.35915283539</v>
      </c>
      <c r="E69" s="343">
        <v>97348.931072258376</v>
      </c>
      <c r="F69" s="601">
        <v>462057.65419755381</v>
      </c>
      <c r="G69" s="343">
        <v>93472.6</v>
      </c>
      <c r="H69" s="430">
        <v>466088.35</v>
      </c>
      <c r="I69" s="391">
        <f>$C69*Allocations!$B$16</f>
        <v>478064.05196271866</v>
      </c>
      <c r="J69" s="387">
        <f t="shared" si="6"/>
        <v>2069309.9463853661</v>
      </c>
      <c r="K69" s="168">
        <f t="shared" si="7"/>
        <v>517327.49</v>
      </c>
      <c r="L69" s="816">
        <v>-64197.35</v>
      </c>
      <c r="M69" s="428">
        <f t="shared" si="8"/>
        <v>413866.70196271868</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413866.70196271868</v>
      </c>
      <c r="V69" s="347">
        <f t="shared" ref="V69:V103" si="21">$U69/$K69</f>
        <v>0.80000910441221418</v>
      </c>
      <c r="W69" s="348">
        <f t="shared" si="10"/>
        <v>2565154.9357949528</v>
      </c>
      <c r="X69" s="349">
        <f t="shared" ref="X69:X103" si="22">IF((($U69-$J69)-($Q69+$S69))&gt;0,(($U69-$J69)-($Q69+$S69)),0)</f>
        <v>0</v>
      </c>
      <c r="Y69" s="305">
        <f t="shared" si="11"/>
        <v>466088.35</v>
      </c>
      <c r="Z69" s="350">
        <f t="shared" si="12"/>
        <v>8.3723188070985513E-3</v>
      </c>
      <c r="AA69" s="343">
        <f t="shared" ref="AA69:AA103" si="23">IF($Z69&gt;0,$Z69*$X$104,0)</f>
        <v>14150.861770754518</v>
      </c>
      <c r="AB69" s="233">
        <f>ROUND($C69*Allocations!$B$16,2)</f>
        <v>478064.05</v>
      </c>
      <c r="AC69" s="242">
        <f>$C69*Allocations!$B$24</f>
        <v>0</v>
      </c>
      <c r="AD69" s="246">
        <f t="shared" ref="AD69:AD103" si="24">ROUND($L69+$AB69+$AC69+$AA69-$O69-$T69-$X69,2)</f>
        <v>428017.56</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3">
        <v>327085.26928077778</v>
      </c>
      <c r="G70" s="240">
        <v>66168.179999999993</v>
      </c>
      <c r="H70" s="429">
        <v>312477</v>
      </c>
      <c r="I70" s="390">
        <f>$C70*Allocations!$B$16</f>
        <v>304675.94943083264</v>
      </c>
      <c r="J70" s="237">
        <f t="shared" ref="J70:J103" si="25">SUM(D70:I70)</f>
        <v>1410507.0427769909</v>
      </c>
      <c r="K70" s="165">
        <f t="shared" ref="K70:K103" si="26">ROUND(AVERAGE((D70+E70),(F70+G70),H70,I70),2)</f>
        <v>352626.76</v>
      </c>
      <c r="L70" s="815">
        <v>-354703.63</v>
      </c>
      <c r="M70" s="427">
        <f t="shared" ref="M70:M103" si="27">$L70+$I70</f>
        <v>-50027.680569167365</v>
      </c>
      <c r="N70" s="239">
        <f t="shared" si="19"/>
        <v>498494.64</v>
      </c>
      <c r="O70" s="240">
        <f t="shared" si="20"/>
        <v>498494.64</v>
      </c>
      <c r="P70" s="319"/>
      <c r="Q70" s="320"/>
      <c r="R70" s="320"/>
      <c r="S70" s="321"/>
      <c r="T70" s="330">
        <f>'Project Final Cost Tracking'!C69</f>
        <v>120373.70000000019</v>
      </c>
      <c r="U70" s="341">
        <f t="shared" ref="U70:U103" si="28">$M70-$O70-$T70</f>
        <v>-668896.02056916757</v>
      </c>
      <c r="V70" s="340">
        <f t="shared" si="21"/>
        <v>-1.8968952344092307</v>
      </c>
      <c r="W70" s="341">
        <f t="shared" ref="W70:W103" si="29">(($I70)*4.5)+$U70</f>
        <v>702145.75186957931</v>
      </c>
      <c r="X70" s="342">
        <f t="shared" si="22"/>
        <v>0</v>
      </c>
      <c r="Y70" s="239">
        <f t="shared" ref="Y70:Y103" si="30">IF($X70&gt;0,0,($H70))</f>
        <v>312477</v>
      </c>
      <c r="Z70" s="255">
        <f t="shared" ref="Z70:Z103" si="31">IF($Y70&gt;0,$Y70/$Y$104,0)</f>
        <v>5.6130067698232193E-3</v>
      </c>
      <c r="AA70" s="240">
        <f t="shared" si="23"/>
        <v>9487.0829394042139</v>
      </c>
      <c r="AB70" s="238">
        <f>ROUND($C70*Allocations!$B$16,2)</f>
        <v>304675.95</v>
      </c>
      <c r="AC70" s="241">
        <f>$C70*Allocations!$B$24</f>
        <v>0</v>
      </c>
      <c r="AD70" s="244">
        <f t="shared" si="24"/>
        <v>-659408.93999999994</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3">
        <v>880117.06023567275</v>
      </c>
      <c r="G71" s="240">
        <v>178044.52</v>
      </c>
      <c r="H71" s="429">
        <v>842188.58</v>
      </c>
      <c r="I71" s="390">
        <f>$C71*Allocations!$B$16</f>
        <v>867577.45356326643</v>
      </c>
      <c r="J71" s="237">
        <f t="shared" si="25"/>
        <v>3878805.9495826946</v>
      </c>
      <c r="K71" s="165">
        <f t="shared" si="26"/>
        <v>969701.49</v>
      </c>
      <c r="L71" s="815">
        <v>496935.69</v>
      </c>
      <c r="M71" s="427">
        <f t="shared" si="27"/>
        <v>1364513.1435632664</v>
      </c>
      <c r="N71" s="239">
        <f t="shared" si="19"/>
        <v>0</v>
      </c>
      <c r="O71" s="240">
        <f t="shared" si="20"/>
        <v>0</v>
      </c>
      <c r="P71" s="319"/>
      <c r="Q71" s="320"/>
      <c r="R71" s="320"/>
      <c r="S71" s="321"/>
      <c r="T71" s="330">
        <f>'Project Final Cost Tracking'!C70</f>
        <v>0</v>
      </c>
      <c r="U71" s="341">
        <f t="shared" si="28"/>
        <v>1364513.1435632664</v>
      </c>
      <c r="V71" s="340">
        <f t="shared" si="21"/>
        <v>1.4071476197930421</v>
      </c>
      <c r="W71" s="341">
        <f t="shared" si="29"/>
        <v>5268611.6845979653</v>
      </c>
      <c r="X71" s="342">
        <f t="shared" si="22"/>
        <v>0</v>
      </c>
      <c r="Y71" s="239">
        <f t="shared" si="30"/>
        <v>842188.58</v>
      </c>
      <c r="Z71" s="255">
        <f t="shared" si="31"/>
        <v>1.5128186077720292E-2</v>
      </c>
      <c r="AA71" s="240">
        <f t="shared" si="23"/>
        <v>25569.603231850855</v>
      </c>
      <c r="AB71" s="238">
        <f>ROUND($C71*Allocations!$B$16,2)</f>
        <v>867577.45</v>
      </c>
      <c r="AC71" s="241">
        <f>$C71*Allocations!$B$24</f>
        <v>0</v>
      </c>
      <c r="AD71" s="244">
        <f t="shared" si="24"/>
        <v>1390082.74</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3">
        <v>387488.9289647924</v>
      </c>
      <c r="G72" s="240">
        <v>78387.62</v>
      </c>
      <c r="H72" s="429">
        <v>366945.02</v>
      </c>
      <c r="I72" s="390">
        <f>$C72*Allocations!$B$16</f>
        <v>414173.24532144272</v>
      </c>
      <c r="J72" s="237">
        <f t="shared" si="25"/>
        <v>1797385.4421404037</v>
      </c>
      <c r="K72" s="165">
        <f t="shared" si="26"/>
        <v>449346.36</v>
      </c>
      <c r="L72" s="815">
        <v>2059727.77</v>
      </c>
      <c r="M72" s="427">
        <f t="shared" si="27"/>
        <v>2473901.0153214429</v>
      </c>
      <c r="N72" s="239">
        <f t="shared" si="19"/>
        <v>0</v>
      </c>
      <c r="O72" s="240">
        <f t="shared" si="20"/>
        <v>0</v>
      </c>
      <c r="P72" s="319"/>
      <c r="Q72" s="320"/>
      <c r="R72" s="320"/>
      <c r="S72" s="321"/>
      <c r="T72" s="330">
        <f>'Project Final Cost Tracking'!C71</f>
        <v>0</v>
      </c>
      <c r="U72" s="341">
        <f t="shared" si="28"/>
        <v>2473901.0153214429</v>
      </c>
      <c r="V72" s="340">
        <f t="shared" si="21"/>
        <v>5.5055548137108374</v>
      </c>
      <c r="W72" s="341">
        <f t="shared" si="29"/>
        <v>4337680.6192679349</v>
      </c>
      <c r="X72" s="342">
        <f t="shared" si="22"/>
        <v>676515.57318103919</v>
      </c>
      <c r="Y72" s="239">
        <f t="shared" si="30"/>
        <v>0</v>
      </c>
      <c r="Z72" s="255">
        <f t="shared" si="31"/>
        <v>0</v>
      </c>
      <c r="AA72" s="240">
        <f t="shared" si="23"/>
        <v>0</v>
      </c>
      <c r="AB72" s="238">
        <f>ROUND($C72*Allocations!$B$16,2)</f>
        <v>414173.25</v>
      </c>
      <c r="AC72" s="241">
        <f>$C72*Allocations!$B$24</f>
        <v>0</v>
      </c>
      <c r="AD72" s="244">
        <f t="shared" si="24"/>
        <v>1797385.45</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3">
        <v>638971.72954721679</v>
      </c>
      <c r="G73" s="240">
        <v>129261.69</v>
      </c>
      <c r="H73" s="429">
        <v>571391.02</v>
      </c>
      <c r="I73" s="390">
        <f>$C73*Allocations!$B$16</f>
        <v>543447.06896011031</v>
      </c>
      <c r="J73" s="237">
        <f t="shared" si="25"/>
        <v>2663127.571569419</v>
      </c>
      <c r="K73" s="165">
        <f t="shared" si="26"/>
        <v>665781.89</v>
      </c>
      <c r="L73" s="815">
        <v>1596547.45</v>
      </c>
      <c r="M73" s="427">
        <f t="shared" si="27"/>
        <v>2139994.5189601104</v>
      </c>
      <c r="N73" s="239">
        <f t="shared" si="19"/>
        <v>0</v>
      </c>
      <c r="O73" s="240">
        <f t="shared" si="20"/>
        <v>0</v>
      </c>
      <c r="P73" s="319"/>
      <c r="Q73" s="320"/>
      <c r="R73" s="320"/>
      <c r="S73" s="321"/>
      <c r="T73" s="330">
        <f>'Project Final Cost Tracking'!C72</f>
        <v>0</v>
      </c>
      <c r="U73" s="341">
        <f t="shared" si="28"/>
        <v>2139994.5189601104</v>
      </c>
      <c r="V73" s="340">
        <f t="shared" si="21"/>
        <v>3.2142576286659139</v>
      </c>
      <c r="W73" s="341">
        <f t="shared" si="29"/>
        <v>4585506.3292806074</v>
      </c>
      <c r="X73" s="342">
        <f t="shared" si="22"/>
        <v>0</v>
      </c>
      <c r="Y73" s="239">
        <f t="shared" si="30"/>
        <v>571391.02</v>
      </c>
      <c r="Z73" s="255">
        <f t="shared" si="31"/>
        <v>1.0263864743568949E-2</v>
      </c>
      <c r="AA73" s="240">
        <f t="shared" si="23"/>
        <v>17347.945601022704</v>
      </c>
      <c r="AB73" s="238">
        <f>ROUND($C73*Allocations!$B$16,2)</f>
        <v>543447.06999999995</v>
      </c>
      <c r="AC73" s="241">
        <f>$C73*Allocations!$B$24</f>
        <v>0</v>
      </c>
      <c r="AD73" s="244">
        <f t="shared" si="24"/>
        <v>2157342.4700000002</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1">
        <v>744136.78792099888</v>
      </c>
      <c r="G74" s="343">
        <v>150536.20000000001</v>
      </c>
      <c r="H74" s="430">
        <v>732429.73</v>
      </c>
      <c r="I74" s="391">
        <f>$C74*Allocations!$B$16</f>
        <v>767777.59733880602</v>
      </c>
      <c r="J74" s="387">
        <f t="shared" si="25"/>
        <v>3261626.9114509677</v>
      </c>
      <c r="K74" s="168">
        <f t="shared" si="26"/>
        <v>815406.73</v>
      </c>
      <c r="L74" s="816">
        <v>1964545.14</v>
      </c>
      <c r="M74" s="428">
        <f t="shared" si="27"/>
        <v>2732322.737338806</v>
      </c>
      <c r="N74" s="305">
        <f t="shared" si="19"/>
        <v>0</v>
      </c>
      <c r="O74" s="343">
        <f t="shared" si="20"/>
        <v>0</v>
      </c>
      <c r="P74" s="344"/>
      <c r="Q74" s="351"/>
      <c r="R74" s="345"/>
      <c r="S74" s="346"/>
      <c r="T74" s="188">
        <f>'Project Final Cost Tracking'!C73</f>
        <v>0</v>
      </c>
      <c r="U74" s="348">
        <f t="shared" si="28"/>
        <v>2732322.737338806</v>
      </c>
      <c r="V74" s="347">
        <f t="shared" si="21"/>
        <v>3.3508709663689018</v>
      </c>
      <c r="W74" s="348">
        <f t="shared" si="29"/>
        <v>6187321.9253634326</v>
      </c>
      <c r="X74" s="349">
        <f t="shared" si="22"/>
        <v>0</v>
      </c>
      <c r="Y74" s="305">
        <f t="shared" si="30"/>
        <v>732429.73</v>
      </c>
      <c r="Z74" s="350">
        <f t="shared" si="31"/>
        <v>1.3156594030631991E-2</v>
      </c>
      <c r="AA74" s="343">
        <f t="shared" si="23"/>
        <v>22237.225766361793</v>
      </c>
      <c r="AB74" s="233">
        <f>ROUND($C74*Allocations!$B$16,2)</f>
        <v>767777.6</v>
      </c>
      <c r="AC74" s="242">
        <f>$C74*Allocations!$B$24</f>
        <v>0</v>
      </c>
      <c r="AD74" s="246">
        <f t="shared" si="24"/>
        <v>2754559.97</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3">
        <v>219176.97523848983</v>
      </c>
      <c r="G75" s="240">
        <v>44338.71</v>
      </c>
      <c r="H75" s="429">
        <v>235094.64</v>
      </c>
      <c r="I75" s="390">
        <f>$C75*Allocations!$B$16</f>
        <v>251103.33944690553</v>
      </c>
      <c r="J75" s="237">
        <f t="shared" si="25"/>
        <v>1002046.3472510141</v>
      </c>
      <c r="K75" s="165">
        <f t="shared" si="26"/>
        <v>250511.59</v>
      </c>
      <c r="L75" s="815">
        <v>574786.14</v>
      </c>
      <c r="M75" s="427">
        <f t="shared" si="27"/>
        <v>825889.47944690555</v>
      </c>
      <c r="N75" s="239">
        <f t="shared" si="19"/>
        <v>0</v>
      </c>
      <c r="O75" s="240">
        <f t="shared" si="20"/>
        <v>0</v>
      </c>
      <c r="P75" s="319"/>
      <c r="Q75" s="320"/>
      <c r="R75" s="320"/>
      <c r="S75" s="321"/>
      <c r="T75" s="330">
        <f>'Project Final Cost Tracking'!C74</f>
        <v>0</v>
      </c>
      <c r="U75" s="341">
        <f t="shared" si="28"/>
        <v>825889.47944690555</v>
      </c>
      <c r="V75" s="340">
        <f t="shared" si="21"/>
        <v>3.296811454699184</v>
      </c>
      <c r="W75" s="341">
        <f t="shared" si="29"/>
        <v>1955854.5069579803</v>
      </c>
      <c r="X75" s="342">
        <f t="shared" si="22"/>
        <v>0</v>
      </c>
      <c r="Y75" s="239">
        <f t="shared" si="30"/>
        <v>235094.64</v>
      </c>
      <c r="Z75" s="255">
        <f t="shared" si="31"/>
        <v>4.2229917909771047E-3</v>
      </c>
      <c r="AA75" s="240">
        <f t="shared" si="23"/>
        <v>7137.6848481308243</v>
      </c>
      <c r="AB75" s="238">
        <f>ROUND($C75*Allocations!$B$16,2)</f>
        <v>251103.34</v>
      </c>
      <c r="AC75" s="241">
        <f>$C75*Allocations!$B$24</f>
        <v>0</v>
      </c>
      <c r="AD75" s="244">
        <f t="shared" si="24"/>
        <v>833027.16</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3">
        <v>216308.91920023636</v>
      </c>
      <c r="G76" s="240">
        <v>43758.52</v>
      </c>
      <c r="H76" s="429">
        <v>247920.6</v>
      </c>
      <c r="I76" s="390">
        <f>$C76*Allocations!$B$16</f>
        <v>245092.18979472219</v>
      </c>
      <c r="J76" s="237">
        <f t="shared" si="25"/>
        <v>1029235.0524759495</v>
      </c>
      <c r="K76" s="165">
        <f t="shared" si="26"/>
        <v>257308.76</v>
      </c>
      <c r="L76" s="815">
        <v>-156416.01999999999</v>
      </c>
      <c r="M76" s="427">
        <f t="shared" si="27"/>
        <v>88676.169794722198</v>
      </c>
      <c r="N76" s="239">
        <f t="shared" si="19"/>
        <v>0</v>
      </c>
      <c r="O76" s="240">
        <f t="shared" si="20"/>
        <v>0</v>
      </c>
      <c r="P76" s="319"/>
      <c r="Q76" s="320"/>
      <c r="R76" s="320"/>
      <c r="S76" s="321"/>
      <c r="T76" s="330">
        <f>'Project Final Cost Tracking'!C75</f>
        <v>0</v>
      </c>
      <c r="U76" s="341">
        <f t="shared" si="28"/>
        <v>88676.169794722198</v>
      </c>
      <c r="V76" s="340">
        <f t="shared" si="21"/>
        <v>0.34462942417787173</v>
      </c>
      <c r="W76" s="341">
        <f t="shared" si="29"/>
        <v>1191591.023870972</v>
      </c>
      <c r="X76" s="342">
        <f t="shared" si="22"/>
        <v>0</v>
      </c>
      <c r="Y76" s="239">
        <f t="shared" si="30"/>
        <v>247920.6</v>
      </c>
      <c r="Z76" s="255">
        <f t="shared" si="31"/>
        <v>4.4533837888184871E-3</v>
      </c>
      <c r="AA76" s="240">
        <f t="shared" si="23"/>
        <v>7527.0925366886395</v>
      </c>
      <c r="AB76" s="238">
        <f>ROUND($C76*Allocations!$B$16,2)</f>
        <v>245092.19</v>
      </c>
      <c r="AC76" s="241">
        <f>$C76*Allocations!$B$24</f>
        <v>0</v>
      </c>
      <c r="AD76" s="244">
        <f t="shared" si="24"/>
        <v>96203.26</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3">
        <v>698977.05386419536</v>
      </c>
      <c r="G77" s="240">
        <v>141400.54999999999</v>
      </c>
      <c r="H77" s="429">
        <v>838934.89</v>
      </c>
      <c r="I77" s="390">
        <f>$C77*Allocations!$B$16</f>
        <v>809254.89758815174</v>
      </c>
      <c r="J77" s="237">
        <f t="shared" si="25"/>
        <v>3387999.3350860104</v>
      </c>
      <c r="K77" s="165">
        <f t="shared" si="26"/>
        <v>846999.83</v>
      </c>
      <c r="L77" s="815">
        <v>-2219295.66</v>
      </c>
      <c r="M77" s="427">
        <f t="shared" si="27"/>
        <v>-1410040.7624118484</v>
      </c>
      <c r="N77" s="239">
        <f t="shared" si="19"/>
        <v>0</v>
      </c>
      <c r="O77" s="240">
        <f t="shared" si="20"/>
        <v>0</v>
      </c>
      <c r="P77" s="319"/>
      <c r="Q77" s="320"/>
      <c r="R77" s="320"/>
      <c r="S77" s="321"/>
      <c r="T77" s="330">
        <f>'Project Final Cost Tracking'!C76</f>
        <v>83618.249999999825</v>
      </c>
      <c r="U77" s="341">
        <f t="shared" si="28"/>
        <v>-1493659.0124118482</v>
      </c>
      <c r="V77" s="340">
        <f t="shared" si="21"/>
        <v>-1.7634702623397791</v>
      </c>
      <c r="W77" s="341">
        <f t="shared" si="29"/>
        <v>2147988.0267348345</v>
      </c>
      <c r="X77" s="342">
        <f t="shared" si="22"/>
        <v>0</v>
      </c>
      <c r="Y77" s="239">
        <f t="shared" si="30"/>
        <v>838934.89</v>
      </c>
      <c r="Z77" s="255">
        <f t="shared" si="31"/>
        <v>1.5069740227315604E-2</v>
      </c>
      <c r="AA77" s="240">
        <f t="shared" si="23"/>
        <v>25470.818275232898</v>
      </c>
      <c r="AB77" s="238">
        <f>ROUND($C77*Allocations!$B$16,2)</f>
        <v>809254.9</v>
      </c>
      <c r="AC77" s="241">
        <f>$C77*Allocations!$B$24</f>
        <v>0</v>
      </c>
      <c r="AD77" s="244">
        <f t="shared" si="24"/>
        <v>-1468188.19</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3">
        <v>276364.84386294242</v>
      </c>
      <c r="G78" s="240">
        <v>55907.62</v>
      </c>
      <c r="H78" s="429">
        <v>278148.25</v>
      </c>
      <c r="I78" s="390">
        <f>$C78*Allocations!$B$16</f>
        <v>277107.57970029814</v>
      </c>
      <c r="J78" s="237">
        <f t="shared" si="25"/>
        <v>1224550.3108515413</v>
      </c>
      <c r="K78" s="165">
        <f t="shared" si="26"/>
        <v>306137.58</v>
      </c>
      <c r="L78" s="815">
        <v>409493.84</v>
      </c>
      <c r="M78" s="427">
        <f t="shared" si="27"/>
        <v>686601.41970029823</v>
      </c>
      <c r="N78" s="239">
        <f t="shared" si="19"/>
        <v>0</v>
      </c>
      <c r="O78" s="240">
        <f t="shared" si="20"/>
        <v>0</v>
      </c>
      <c r="P78" s="319"/>
      <c r="Q78" s="320"/>
      <c r="R78" s="320"/>
      <c r="S78" s="321"/>
      <c r="T78" s="330">
        <f>'Project Final Cost Tracking'!C77</f>
        <v>0</v>
      </c>
      <c r="U78" s="341">
        <f t="shared" si="28"/>
        <v>686601.41970029823</v>
      </c>
      <c r="V78" s="340">
        <f t="shared" si="21"/>
        <v>2.2427871145394764</v>
      </c>
      <c r="W78" s="341">
        <f t="shared" si="29"/>
        <v>1933585.5283516399</v>
      </c>
      <c r="X78" s="342">
        <f t="shared" si="22"/>
        <v>0</v>
      </c>
      <c r="Y78" s="239">
        <f t="shared" si="30"/>
        <v>278148.25</v>
      </c>
      <c r="Z78" s="255">
        <f t="shared" si="31"/>
        <v>4.9963613650428071E-3</v>
      </c>
      <c r="AA78" s="240">
        <f t="shared" si="23"/>
        <v>8444.8311946163649</v>
      </c>
      <c r="AB78" s="238">
        <f>ROUND($C78*Allocations!$B$16,2)</f>
        <v>277107.58</v>
      </c>
      <c r="AC78" s="241">
        <f>$C78*Allocations!$B$24</f>
        <v>0</v>
      </c>
      <c r="AD78" s="244">
        <f t="shared" si="24"/>
        <v>695046.25</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1">
        <v>703838.2819523582</v>
      </c>
      <c r="G79" s="343">
        <v>142383.96</v>
      </c>
      <c r="H79" s="430">
        <v>761415.99</v>
      </c>
      <c r="I79" s="391">
        <f>$C79*Allocations!$B$16</f>
        <v>724136.50423819455</v>
      </c>
      <c r="J79" s="387">
        <f t="shared" si="25"/>
        <v>3227450.9662111849</v>
      </c>
      <c r="K79" s="168">
        <f t="shared" si="26"/>
        <v>806862.74</v>
      </c>
      <c r="L79" s="816">
        <v>2217943.09</v>
      </c>
      <c r="M79" s="428">
        <f t="shared" si="27"/>
        <v>2942079.5942381946</v>
      </c>
      <c r="N79" s="305">
        <f t="shared" si="19"/>
        <v>693184</v>
      </c>
      <c r="O79" s="343">
        <f t="shared" si="20"/>
        <v>691184</v>
      </c>
      <c r="P79" s="344"/>
      <c r="Q79" s="345"/>
      <c r="R79" s="345"/>
      <c r="S79" s="346"/>
      <c r="T79" s="188">
        <f>'Project Final Cost Tracking'!C78</f>
        <v>0</v>
      </c>
      <c r="U79" s="348">
        <f t="shared" si="28"/>
        <v>2250895.5942381946</v>
      </c>
      <c r="V79" s="347">
        <f t="shared" si="21"/>
        <v>2.7896883604244689</v>
      </c>
      <c r="W79" s="348">
        <f t="shared" si="29"/>
        <v>5509509.8633100707</v>
      </c>
      <c r="X79" s="349">
        <f t="shared" si="22"/>
        <v>0</v>
      </c>
      <c r="Y79" s="305">
        <f t="shared" si="30"/>
        <v>761415.99</v>
      </c>
      <c r="Z79" s="350">
        <f t="shared" si="31"/>
        <v>1.3677272588131761E-2</v>
      </c>
      <c r="AA79" s="343">
        <f t="shared" si="23"/>
        <v>23117.274706677832</v>
      </c>
      <c r="AB79" s="233">
        <f>ROUND($C79*Allocations!$B$16,2)</f>
        <v>724136.5</v>
      </c>
      <c r="AC79" s="242">
        <f>$C79*Allocations!$B$24</f>
        <v>0</v>
      </c>
      <c r="AD79" s="246">
        <f t="shared" si="24"/>
        <v>2274012.86</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3">
        <v>495134.36901488231</v>
      </c>
      <c r="G80" s="240">
        <v>100163.9</v>
      </c>
      <c r="H80" s="429">
        <v>492288.09</v>
      </c>
      <c r="I80" s="390">
        <f>$C80*Allocations!$B$16</f>
        <v>478795.33084246505</v>
      </c>
      <c r="J80" s="237">
        <f t="shared" si="25"/>
        <v>2083603.1206546347</v>
      </c>
      <c r="K80" s="165">
        <f t="shared" si="26"/>
        <v>520900.78</v>
      </c>
      <c r="L80" s="815">
        <v>1144140.3</v>
      </c>
      <c r="M80" s="427">
        <f t="shared" si="27"/>
        <v>1622935.630842465</v>
      </c>
      <c r="N80" s="239">
        <f t="shared" si="19"/>
        <v>1243094.25</v>
      </c>
      <c r="O80" s="240">
        <f t="shared" si="20"/>
        <v>0</v>
      </c>
      <c r="P80" s="319"/>
      <c r="Q80" s="320"/>
      <c r="R80" s="320"/>
      <c r="S80" s="321"/>
      <c r="T80" s="330">
        <f>'Project Final Cost Tracking'!C79</f>
        <v>0</v>
      </c>
      <c r="U80" s="341">
        <f t="shared" si="28"/>
        <v>1622935.630842465</v>
      </c>
      <c r="V80" s="340">
        <f t="shared" si="21"/>
        <v>3.115632944228774</v>
      </c>
      <c r="W80" s="341">
        <f t="shared" si="29"/>
        <v>3777514.6196335577</v>
      </c>
      <c r="X80" s="342">
        <f t="shared" si="22"/>
        <v>0</v>
      </c>
      <c r="Y80" s="239">
        <f t="shared" si="30"/>
        <v>492288.09</v>
      </c>
      <c r="Z80" s="255">
        <f t="shared" si="31"/>
        <v>8.8429432626188232E-3</v>
      </c>
      <c r="AA80" s="240">
        <f t="shared" si="23"/>
        <v>14946.309456090801</v>
      </c>
      <c r="AB80" s="238">
        <f>ROUND($C80*Allocations!$B$16,2)</f>
        <v>478795.33</v>
      </c>
      <c r="AC80" s="241">
        <f>$C80*Allocations!$B$24</f>
        <v>0</v>
      </c>
      <c r="AD80" s="244">
        <f t="shared" si="24"/>
        <v>1637881.94</v>
      </c>
      <c r="AE80" s="153"/>
      <c r="AF80" s="141"/>
      <c r="AG80" s="151"/>
      <c r="AH80" s="146"/>
      <c r="AI80" s="145"/>
      <c r="AJ80" s="146"/>
      <c r="AK80" s="151"/>
      <c r="AL80" s="146"/>
      <c r="AM80" s="185"/>
      <c r="AN80" s="186"/>
      <c r="AO80" s="145"/>
      <c r="AP80" s="146"/>
      <c r="AQ80" s="145"/>
      <c r="AR80" s="146"/>
      <c r="AS80" s="145">
        <f>Pocahontas!C8</f>
        <v>1243094.25</v>
      </c>
      <c r="AT80" s="146">
        <f>Pocahontas!D8</f>
        <v>0</v>
      </c>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3">
        <v>569579.75456708448</v>
      </c>
      <c r="G81" s="240">
        <v>115223.94</v>
      </c>
      <c r="H81" s="429">
        <v>568797.78</v>
      </c>
      <c r="I81" s="390">
        <f>$C81*Allocations!$B$16</f>
        <v>568582.48700742319</v>
      </c>
      <c r="J81" s="237">
        <f t="shared" si="25"/>
        <v>2468612.1115705916</v>
      </c>
      <c r="K81" s="165">
        <f t="shared" si="26"/>
        <v>617153.03</v>
      </c>
      <c r="L81" s="815">
        <v>756218.65</v>
      </c>
      <c r="M81" s="427">
        <f t="shared" si="27"/>
        <v>1324801.1370074232</v>
      </c>
      <c r="N81" s="239">
        <f t="shared" si="19"/>
        <v>0</v>
      </c>
      <c r="O81" s="240">
        <f t="shared" si="20"/>
        <v>0</v>
      </c>
      <c r="P81" s="319"/>
      <c r="Q81" s="320"/>
      <c r="R81" s="320"/>
      <c r="S81" s="321"/>
      <c r="T81" s="330">
        <f>'Project Final Cost Tracking'!C80</f>
        <v>0</v>
      </c>
      <c r="U81" s="341">
        <f t="shared" si="28"/>
        <v>1324801.1370074232</v>
      </c>
      <c r="V81" s="340">
        <f t="shared" si="21"/>
        <v>2.146633124376661</v>
      </c>
      <c r="W81" s="341">
        <f t="shared" si="29"/>
        <v>3883422.3285408276</v>
      </c>
      <c r="X81" s="342">
        <f t="shared" si="22"/>
        <v>0</v>
      </c>
      <c r="Y81" s="239">
        <f t="shared" si="30"/>
        <v>568797.78</v>
      </c>
      <c r="Z81" s="255">
        <f t="shared" si="31"/>
        <v>1.0217282519354762E-2</v>
      </c>
      <c r="AA81" s="240">
        <f t="shared" si="23"/>
        <v>17269.212500788828</v>
      </c>
      <c r="AB81" s="238">
        <f>ROUND($C81*Allocations!$B$16,2)</f>
        <v>568582.49</v>
      </c>
      <c r="AC81" s="241">
        <f>$C81*Allocations!$B$24</f>
        <v>0</v>
      </c>
      <c r="AD81" s="244">
        <f t="shared" si="24"/>
        <v>1342070.3500000001</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3">
        <v>714986.31006699894</v>
      </c>
      <c r="G82" s="240">
        <v>144639.16</v>
      </c>
      <c r="H82" s="429">
        <v>683284.09</v>
      </c>
      <c r="I82" s="390">
        <f>$C82*Allocations!$B$16</f>
        <v>674677.51679120597</v>
      </c>
      <c r="J82" s="237">
        <f t="shared" si="25"/>
        <v>3102898.8796586567</v>
      </c>
      <c r="K82" s="165">
        <f t="shared" si="26"/>
        <v>775724.72</v>
      </c>
      <c r="L82" s="815">
        <v>403401.59</v>
      </c>
      <c r="M82" s="427">
        <f t="shared" si="27"/>
        <v>1078079.1067912059</v>
      </c>
      <c r="N82" s="239">
        <f t="shared" si="19"/>
        <v>0</v>
      </c>
      <c r="O82" s="240">
        <f t="shared" si="20"/>
        <v>0</v>
      </c>
      <c r="P82" s="319"/>
      <c r="Q82" s="320"/>
      <c r="R82" s="320"/>
      <c r="S82" s="321"/>
      <c r="T82" s="330">
        <f>'Project Final Cost Tracking'!C81</f>
        <v>0</v>
      </c>
      <c r="U82" s="341">
        <f t="shared" si="28"/>
        <v>1078079.1067912059</v>
      </c>
      <c r="V82" s="340">
        <f t="shared" si="21"/>
        <v>1.389770209709452</v>
      </c>
      <c r="W82" s="341">
        <f t="shared" si="29"/>
        <v>4114127.932351633</v>
      </c>
      <c r="X82" s="342">
        <f t="shared" si="22"/>
        <v>0</v>
      </c>
      <c r="Y82" s="239">
        <f t="shared" si="30"/>
        <v>683284.09</v>
      </c>
      <c r="Z82" s="255">
        <f t="shared" si="31"/>
        <v>1.2273793664437694E-2</v>
      </c>
      <c r="AA82" s="240">
        <f t="shared" si="23"/>
        <v>20745.119906442178</v>
      </c>
      <c r="AB82" s="238">
        <f>ROUND($C82*Allocations!$B$16,2)</f>
        <v>674677.52</v>
      </c>
      <c r="AC82" s="241">
        <f>$C82*Allocations!$B$24</f>
        <v>0</v>
      </c>
      <c r="AD82" s="244">
        <f t="shared" si="24"/>
        <v>1098824.23</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3">
        <v>893939.8250660518</v>
      </c>
      <c r="G83" s="240">
        <v>180840.82</v>
      </c>
      <c r="H83" s="429">
        <v>930167.51</v>
      </c>
      <c r="I83" s="390">
        <f>$C83*Allocations!$B$16</f>
        <v>883989.56862781453</v>
      </c>
      <c r="J83" s="237">
        <f t="shared" si="25"/>
        <v>3924388.4216186432</v>
      </c>
      <c r="K83" s="165">
        <f t="shared" si="26"/>
        <v>981097.11</v>
      </c>
      <c r="L83" s="815">
        <v>201660.34</v>
      </c>
      <c r="M83" s="427">
        <f t="shared" si="27"/>
        <v>1085649.9086278146</v>
      </c>
      <c r="N83" s="239">
        <f t="shared" si="19"/>
        <v>1126318.95</v>
      </c>
      <c r="O83" s="240">
        <f t="shared" si="20"/>
        <v>1126318.95</v>
      </c>
      <c r="P83" s="319"/>
      <c r="Q83" s="320"/>
      <c r="R83" s="320"/>
      <c r="S83" s="321"/>
      <c r="T83" s="330">
        <f>'Project Final Cost Tracking'!C82</f>
        <v>-1131.6800000000512</v>
      </c>
      <c r="U83" s="341">
        <f t="shared" si="28"/>
        <v>-39537.361372185289</v>
      </c>
      <c r="V83" s="340">
        <f t="shared" si="21"/>
        <v>-4.0299131420522979E-2</v>
      </c>
      <c r="W83" s="341">
        <f t="shared" si="29"/>
        <v>3938415.6974529801</v>
      </c>
      <c r="X83" s="342">
        <f t="shared" si="22"/>
        <v>0</v>
      </c>
      <c r="Y83" s="239">
        <f t="shared" si="30"/>
        <v>930167.51</v>
      </c>
      <c r="Z83" s="255">
        <f t="shared" si="31"/>
        <v>1.670854664727198E-2</v>
      </c>
      <c r="AA83" s="240">
        <f t="shared" si="23"/>
        <v>28240.722724901665</v>
      </c>
      <c r="AB83" s="238">
        <f>ROUND($C83*Allocations!$B$16,2)</f>
        <v>883989.57</v>
      </c>
      <c r="AC83" s="241">
        <f>$C83*Allocations!$B$24</f>
        <v>0</v>
      </c>
      <c r="AD83" s="244">
        <f t="shared" si="24"/>
        <v>-11296.64</v>
      </c>
      <c r="AE83" s="153"/>
      <c r="AF83" s="141"/>
      <c r="AG83" s="151"/>
      <c r="AH83" s="146"/>
      <c r="AI83" s="145"/>
      <c r="AJ83" s="146"/>
      <c r="AK83" s="151"/>
      <c r="AL83" s="146"/>
      <c r="AM83" s="145"/>
      <c r="AN83" s="146"/>
      <c r="AO83" s="145"/>
      <c r="AP83" s="146"/>
      <c r="AQ83" s="145"/>
      <c r="AR83" s="146"/>
      <c r="AS83" s="145">
        <f>Poweshiek!C11</f>
        <v>1126318.95</v>
      </c>
      <c r="AT83" s="146">
        <f>Poweshiek!D11</f>
        <v>1126318.95</v>
      </c>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1">
        <v>691868.91270640038</v>
      </c>
      <c r="G84" s="343">
        <v>139962.6</v>
      </c>
      <c r="H84" s="430">
        <v>664781.84</v>
      </c>
      <c r="I84" s="391">
        <f>$C84*Allocations!$B$16</f>
        <v>689865.60252752912</v>
      </c>
      <c r="J84" s="387">
        <f t="shared" si="25"/>
        <v>3040232.8694521943</v>
      </c>
      <c r="K84" s="168">
        <f t="shared" si="26"/>
        <v>760058.22</v>
      </c>
      <c r="L84" s="816">
        <v>2039145.64</v>
      </c>
      <c r="M84" s="428">
        <f t="shared" si="27"/>
        <v>2729011.2425275291</v>
      </c>
      <c r="N84" s="305">
        <f t="shared" si="19"/>
        <v>0</v>
      </c>
      <c r="O84" s="343">
        <f t="shared" si="20"/>
        <v>0</v>
      </c>
      <c r="P84" s="344"/>
      <c r="Q84" s="345"/>
      <c r="R84" s="345"/>
      <c r="S84" s="346"/>
      <c r="T84" s="188">
        <f>'Project Final Cost Tracking'!C83</f>
        <v>0</v>
      </c>
      <c r="U84" s="348">
        <f t="shared" si="28"/>
        <v>2729011.2425275291</v>
      </c>
      <c r="V84" s="347">
        <f t="shared" si="21"/>
        <v>3.5905292130483493</v>
      </c>
      <c r="W84" s="348">
        <f t="shared" si="29"/>
        <v>5833406.4539014101</v>
      </c>
      <c r="X84" s="349">
        <f t="shared" si="22"/>
        <v>0</v>
      </c>
      <c r="Y84" s="305">
        <f t="shared" si="30"/>
        <v>664781.84</v>
      </c>
      <c r="Z84" s="350">
        <f t="shared" si="31"/>
        <v>1.1941438788696563E-2</v>
      </c>
      <c r="AA84" s="343">
        <f t="shared" si="23"/>
        <v>20183.374945003125</v>
      </c>
      <c r="AB84" s="233">
        <f>ROUND($C84*Allocations!$B$16,2)</f>
        <v>689865.6</v>
      </c>
      <c r="AC84" s="242">
        <f>$C84*Allocations!$B$24</f>
        <v>0</v>
      </c>
      <c r="AD84" s="246">
        <f t="shared" si="24"/>
        <v>2749194.61</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3">
        <v>738130.50223227229</v>
      </c>
      <c r="G85" s="240">
        <v>149321.15</v>
      </c>
      <c r="H85" s="429">
        <v>787249.23</v>
      </c>
      <c r="I85" s="390">
        <f>$C85*Allocations!$B$16</f>
        <v>763875.58943269635</v>
      </c>
      <c r="J85" s="237">
        <f t="shared" si="25"/>
        <v>3234913.2448597942</v>
      </c>
      <c r="K85" s="165">
        <f t="shared" si="26"/>
        <v>808728.31</v>
      </c>
      <c r="L85" s="815">
        <v>1784810.83</v>
      </c>
      <c r="M85" s="427">
        <f t="shared" si="27"/>
        <v>2548686.4194326964</v>
      </c>
      <c r="N85" s="239">
        <f t="shared" si="19"/>
        <v>562681.78</v>
      </c>
      <c r="O85" s="240">
        <f t="shared" si="20"/>
        <v>562681.78</v>
      </c>
      <c r="P85" s="319"/>
      <c r="Q85" s="320"/>
      <c r="R85" s="320"/>
      <c r="S85" s="321"/>
      <c r="T85" s="330">
        <f>'Project Final Cost Tracking'!C84</f>
        <v>0</v>
      </c>
      <c r="U85" s="341">
        <f t="shared" si="28"/>
        <v>1986004.6394326964</v>
      </c>
      <c r="V85" s="340">
        <f t="shared" si="21"/>
        <v>2.4557130186684035</v>
      </c>
      <c r="W85" s="341">
        <f t="shared" si="29"/>
        <v>5423444.79187983</v>
      </c>
      <c r="X85" s="342">
        <f t="shared" si="22"/>
        <v>0</v>
      </c>
      <c r="Y85" s="239">
        <f t="shared" si="30"/>
        <v>787249.23</v>
      </c>
      <c r="Z85" s="255">
        <f t="shared" si="31"/>
        <v>1.4141313624772755E-2</v>
      </c>
      <c r="AA85" s="240">
        <f t="shared" si="23"/>
        <v>23901.59512217572</v>
      </c>
      <c r="AB85" s="238">
        <f>ROUND($C85*Allocations!$B$16,2)</f>
        <v>763875.59</v>
      </c>
      <c r="AC85" s="241">
        <f>$C85*Allocations!$B$24</f>
        <v>0</v>
      </c>
      <c r="AD85" s="244">
        <f t="shared" si="24"/>
        <v>2009906.24</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3">
        <v>562104.35243712063</v>
      </c>
      <c r="G86" s="240">
        <v>113711.69</v>
      </c>
      <c r="H86" s="429">
        <v>537163.15</v>
      </c>
      <c r="I86" s="390">
        <f>$C86*Allocations!$B$16</f>
        <v>592677.67200630601</v>
      </c>
      <c r="J86" s="237">
        <f t="shared" si="25"/>
        <v>2320785.3287448548</v>
      </c>
      <c r="K86" s="165">
        <f t="shared" si="26"/>
        <v>580196.32999999996</v>
      </c>
      <c r="L86" s="815">
        <v>908109.12</v>
      </c>
      <c r="M86" s="427">
        <f t="shared" si="27"/>
        <v>1500786.7920063059</v>
      </c>
      <c r="N86" s="239">
        <f t="shared" si="19"/>
        <v>0</v>
      </c>
      <c r="O86" s="240">
        <f t="shared" si="20"/>
        <v>0</v>
      </c>
      <c r="P86" s="319"/>
      <c r="Q86" s="320"/>
      <c r="R86" s="320"/>
      <c r="S86" s="321"/>
      <c r="T86" s="330">
        <f>'Project Final Cost Tracking'!C85</f>
        <v>0</v>
      </c>
      <c r="U86" s="341">
        <f t="shared" si="28"/>
        <v>1500786.7920063059</v>
      </c>
      <c r="V86" s="340">
        <f t="shared" si="21"/>
        <v>2.5866878406595677</v>
      </c>
      <c r="W86" s="341">
        <f t="shared" si="29"/>
        <v>4167836.316034683</v>
      </c>
      <c r="X86" s="342">
        <f t="shared" si="22"/>
        <v>0</v>
      </c>
      <c r="Y86" s="239">
        <f t="shared" si="30"/>
        <v>537163.15</v>
      </c>
      <c r="Z86" s="255">
        <f t="shared" si="31"/>
        <v>9.6490314405526332E-3</v>
      </c>
      <c r="AA86" s="240">
        <f t="shared" si="23"/>
        <v>16308.75666382366</v>
      </c>
      <c r="AB86" s="238">
        <f>ROUND($C86*Allocations!$B$16,2)</f>
        <v>592677.67000000004</v>
      </c>
      <c r="AC86" s="241">
        <f>$C86*Allocations!$B$24</f>
        <v>0</v>
      </c>
      <c r="AD86" s="244">
        <f t="shared" si="24"/>
        <v>1517095.55</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3">
        <v>367014.23224611266</v>
      </c>
      <c r="G87" s="240">
        <v>74245.66</v>
      </c>
      <c r="H87" s="429">
        <v>357690.95</v>
      </c>
      <c r="I87" s="390">
        <f>$C87*Allocations!$B$16</f>
        <v>319980.00063044968</v>
      </c>
      <c r="J87" s="237">
        <f t="shared" si="25"/>
        <v>1591578.7978545558</v>
      </c>
      <c r="K87" s="165">
        <f t="shared" si="26"/>
        <v>397894.7</v>
      </c>
      <c r="L87" s="815">
        <v>175865.89</v>
      </c>
      <c r="M87" s="427">
        <f t="shared" si="27"/>
        <v>495845.89063044969</v>
      </c>
      <c r="N87" s="239">
        <f t="shared" si="19"/>
        <v>0</v>
      </c>
      <c r="O87" s="240">
        <f t="shared" si="20"/>
        <v>0</v>
      </c>
      <c r="P87" s="319"/>
      <c r="Q87" s="320"/>
      <c r="R87" s="320"/>
      <c r="S87" s="321"/>
      <c r="T87" s="330">
        <f>'Project Final Cost Tracking'!C86</f>
        <v>0</v>
      </c>
      <c r="U87" s="341">
        <f t="shared" si="28"/>
        <v>495845.89063044969</v>
      </c>
      <c r="V87" s="340">
        <f t="shared" si="21"/>
        <v>1.2461736500396956</v>
      </c>
      <c r="W87" s="341">
        <f t="shared" si="29"/>
        <v>1935755.8934674731</v>
      </c>
      <c r="X87" s="342">
        <f t="shared" si="22"/>
        <v>0</v>
      </c>
      <c r="Y87" s="239">
        <f t="shared" si="30"/>
        <v>357690.95</v>
      </c>
      <c r="Z87" s="255">
        <f t="shared" si="31"/>
        <v>6.4251824097597537E-3</v>
      </c>
      <c r="AA87" s="240">
        <f t="shared" si="23"/>
        <v>10859.81915252734</v>
      </c>
      <c r="AB87" s="238">
        <f>ROUND($C87*Allocations!$B$16,2)</f>
        <v>319980</v>
      </c>
      <c r="AC87" s="241">
        <f>$C87*Allocations!$B$24</f>
        <v>0</v>
      </c>
      <c r="AD87" s="244">
        <f t="shared" si="24"/>
        <v>506705.71</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3">
        <v>454737.8698691802</v>
      </c>
      <c r="G88" s="240">
        <v>91991.84</v>
      </c>
      <c r="H88" s="429">
        <v>432310.42</v>
      </c>
      <c r="I88" s="390">
        <f>$C88*Allocations!$B$16</f>
        <v>426527.31012047169</v>
      </c>
      <c r="J88" s="237">
        <f t="shared" si="25"/>
        <v>1913878.3863154131</v>
      </c>
      <c r="K88" s="165">
        <f t="shared" si="26"/>
        <v>478469.6</v>
      </c>
      <c r="L88" s="815">
        <v>-914530.99</v>
      </c>
      <c r="M88" s="427">
        <f t="shared" si="27"/>
        <v>-488003.6798795283</v>
      </c>
      <c r="N88" s="239">
        <f t="shared" si="19"/>
        <v>0</v>
      </c>
      <c r="O88" s="240">
        <f t="shared" si="20"/>
        <v>0</v>
      </c>
      <c r="P88" s="319"/>
      <c r="Q88" s="320"/>
      <c r="R88" s="320"/>
      <c r="S88" s="321"/>
      <c r="T88" s="330">
        <f>'Project Final Cost Tracking'!C87</f>
        <v>0</v>
      </c>
      <c r="U88" s="341">
        <f t="shared" si="28"/>
        <v>-488003.6798795283</v>
      </c>
      <c r="V88" s="340">
        <f t="shared" si="21"/>
        <v>-1.0199261977762606</v>
      </c>
      <c r="W88" s="341">
        <f t="shared" si="29"/>
        <v>1431369.2156625944</v>
      </c>
      <c r="X88" s="342">
        <f t="shared" si="22"/>
        <v>0</v>
      </c>
      <c r="Y88" s="239">
        <f t="shared" si="30"/>
        <v>432310.42</v>
      </c>
      <c r="Z88" s="255">
        <f t="shared" si="31"/>
        <v>7.7655677509868536E-3</v>
      </c>
      <c r="AA88" s="240">
        <f t="shared" si="23"/>
        <v>13125.333416887226</v>
      </c>
      <c r="AB88" s="238">
        <f>ROUND($C88*Allocations!$B$16,2)</f>
        <v>426527.31</v>
      </c>
      <c r="AC88" s="241">
        <f>$C88*Allocations!$B$24</f>
        <v>0</v>
      </c>
      <c r="AD88" s="244">
        <f t="shared" si="24"/>
        <v>-474878.35</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1">
        <v>495470.78772247321</v>
      </c>
      <c r="G89" s="343">
        <v>100231.96</v>
      </c>
      <c r="H89" s="430">
        <v>475581.81</v>
      </c>
      <c r="I89" s="391">
        <f>$C89*Allocations!$B$16</f>
        <v>453663.17509192904</v>
      </c>
      <c r="J89" s="387">
        <f t="shared" si="25"/>
        <v>2157648.9874160346</v>
      </c>
      <c r="K89" s="168">
        <f t="shared" si="26"/>
        <v>539412.25</v>
      </c>
      <c r="L89" s="816">
        <v>1437493.43</v>
      </c>
      <c r="M89" s="428">
        <f t="shared" si="27"/>
        <v>1891156.605091929</v>
      </c>
      <c r="N89" s="305">
        <f t="shared" si="19"/>
        <v>1748209.3499999999</v>
      </c>
      <c r="O89" s="343">
        <f t="shared" si="20"/>
        <v>1748209.3499999999</v>
      </c>
      <c r="P89" s="344"/>
      <c r="Q89" s="345"/>
      <c r="R89" s="345"/>
      <c r="S89" s="346"/>
      <c r="T89" s="188">
        <f>'Project Final Cost Tracking'!C88</f>
        <v>0</v>
      </c>
      <c r="U89" s="348">
        <f t="shared" si="28"/>
        <v>142947.25509192911</v>
      </c>
      <c r="V89" s="347">
        <f t="shared" si="21"/>
        <v>0.26500557800073898</v>
      </c>
      <c r="W89" s="348">
        <f t="shared" si="29"/>
        <v>2184431.5430056099</v>
      </c>
      <c r="X89" s="349">
        <f t="shared" si="22"/>
        <v>0</v>
      </c>
      <c r="Y89" s="305">
        <f t="shared" si="30"/>
        <v>475581.81</v>
      </c>
      <c r="Z89" s="350">
        <f t="shared" si="31"/>
        <v>8.5428492949394027E-3</v>
      </c>
      <c r="AA89" s="343">
        <f t="shared" si="23"/>
        <v>14439.09176016787</v>
      </c>
      <c r="AB89" s="233">
        <f>ROUND($C89*Allocations!$B$16,2)</f>
        <v>453663.18</v>
      </c>
      <c r="AC89" s="242">
        <f>$C89*Allocations!$B$24</f>
        <v>0</v>
      </c>
      <c r="AD89" s="246">
        <f t="shared" si="24"/>
        <v>157386.35</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3">
        <v>1633846.3293073233</v>
      </c>
      <c r="G90" s="240">
        <v>330521.24</v>
      </c>
      <c r="H90" s="429">
        <v>1688969.52</v>
      </c>
      <c r="I90" s="390">
        <f>$C90*Allocations!$B$16</f>
        <v>1640728.0332288942</v>
      </c>
      <c r="J90" s="237">
        <f t="shared" si="25"/>
        <v>7204594.3746294975</v>
      </c>
      <c r="K90" s="165">
        <f t="shared" si="26"/>
        <v>1801148.59</v>
      </c>
      <c r="L90" s="815">
        <v>3253505.34</v>
      </c>
      <c r="M90" s="427">
        <f t="shared" si="27"/>
        <v>4894233.3732288945</v>
      </c>
      <c r="N90" s="239">
        <f t="shared" si="19"/>
        <v>1191161.2</v>
      </c>
      <c r="O90" s="240">
        <f t="shared" si="20"/>
        <v>1191161.2</v>
      </c>
      <c r="P90" s="319"/>
      <c r="Q90" s="320"/>
      <c r="R90" s="320"/>
      <c r="S90" s="321"/>
      <c r="T90" s="330">
        <f>'Project Final Cost Tracking'!C89</f>
        <v>0</v>
      </c>
      <c r="U90" s="341">
        <f t="shared" si="28"/>
        <v>3703072.1732288944</v>
      </c>
      <c r="V90" s="340">
        <f t="shared" si="21"/>
        <v>2.0559504050850652</v>
      </c>
      <c r="W90" s="341">
        <f t="shared" si="29"/>
        <v>11086348.322758919</v>
      </c>
      <c r="X90" s="342">
        <f t="shared" si="22"/>
        <v>0</v>
      </c>
      <c r="Y90" s="239">
        <f t="shared" si="30"/>
        <v>1688969.52</v>
      </c>
      <c r="Z90" s="255">
        <f t="shared" si="31"/>
        <v>3.0338864459736471E-2</v>
      </c>
      <c r="AA90" s="240">
        <f t="shared" si="23"/>
        <v>51278.634646280283</v>
      </c>
      <c r="AB90" s="238">
        <f>ROUND($C90*Allocations!$B$16,2)</f>
        <v>1640728.03</v>
      </c>
      <c r="AC90" s="241">
        <f>$C90*Allocations!$B$24</f>
        <v>0</v>
      </c>
      <c r="AD90" s="244">
        <f t="shared" si="24"/>
        <v>3754350.8</v>
      </c>
      <c r="AE90" s="153"/>
      <c r="AF90" s="141"/>
      <c r="AG90" s="151"/>
      <c r="AH90" s="146"/>
      <c r="AI90" s="145"/>
      <c r="AJ90" s="146"/>
      <c r="AK90" s="834">
        <f>Tama!C16+Tama!C17+Tama!C18+Tama!C19</f>
        <v>1191161.2</v>
      </c>
      <c r="AL90" s="835">
        <f>Tama!D16+Tama!D17+Tama!D18+Tama!D19</f>
        <v>1191161.2</v>
      </c>
      <c r="AM90" s="145"/>
      <c r="AN90" s="146"/>
      <c r="AO90" s="145"/>
      <c r="AP90" s="146"/>
      <c r="AQ90" s="145"/>
      <c r="AR90" s="146"/>
      <c r="AS90" s="145"/>
      <c r="AT90" s="146"/>
      <c r="AU90" s="145"/>
      <c r="AV90" s="146"/>
      <c r="AW90" s="148"/>
      <c r="AX90" s="141"/>
      <c r="AY90" s="145"/>
      <c r="AZ90" s="146"/>
      <c r="BA90" s="173"/>
      <c r="BB90" s="150"/>
      <c r="BC90" s="179"/>
      <c r="BD90" s="836" t="s">
        <v>853</v>
      </c>
    </row>
    <row r="91" spans="1:56" s="30" customFormat="1" ht="12.75">
      <c r="A91" s="97" t="s">
        <v>88</v>
      </c>
      <c r="B91" s="47">
        <v>87</v>
      </c>
      <c r="C91" s="247">
        <v>9.91887197666288E-3</v>
      </c>
      <c r="D91" s="239">
        <v>503475.49721542199</v>
      </c>
      <c r="E91" s="240">
        <v>103779.4777700876</v>
      </c>
      <c r="F91" s="603">
        <v>562655.19943986449</v>
      </c>
      <c r="G91" s="240">
        <v>113823.13</v>
      </c>
      <c r="H91" s="429">
        <v>565355.38</v>
      </c>
      <c r="I91" s="390">
        <f>$C91*Allocations!$B$16</f>
        <v>570806.59256203834</v>
      </c>
      <c r="J91" s="237">
        <f t="shared" si="25"/>
        <v>2419895.2769874125</v>
      </c>
      <c r="K91" s="165">
        <f t="shared" si="26"/>
        <v>604973.81999999995</v>
      </c>
      <c r="L91" s="815">
        <v>2444135.5</v>
      </c>
      <c r="M91" s="427">
        <f t="shared" si="27"/>
        <v>3014942.0925620385</v>
      </c>
      <c r="N91" s="239">
        <f t="shared" si="19"/>
        <v>0</v>
      </c>
      <c r="O91" s="240">
        <f t="shared" si="20"/>
        <v>0</v>
      </c>
      <c r="P91" s="319"/>
      <c r="Q91" s="320"/>
      <c r="R91" s="320"/>
      <c r="S91" s="321"/>
      <c r="T91" s="330">
        <f>'Project Final Cost Tracking'!C90</f>
        <v>0</v>
      </c>
      <c r="U91" s="341">
        <f t="shared" si="28"/>
        <v>3014942.0925620385</v>
      </c>
      <c r="V91" s="340">
        <f t="shared" si="21"/>
        <v>4.9835910131814281</v>
      </c>
      <c r="W91" s="341">
        <f t="shared" si="29"/>
        <v>5583571.7590912115</v>
      </c>
      <c r="X91" s="342">
        <f t="shared" si="22"/>
        <v>595046.81557462597</v>
      </c>
      <c r="Y91" s="239">
        <f t="shared" si="30"/>
        <v>0</v>
      </c>
      <c r="Z91" s="255">
        <f t="shared" si="31"/>
        <v>0</v>
      </c>
      <c r="AA91" s="240">
        <f t="shared" si="23"/>
        <v>0</v>
      </c>
      <c r="AB91" s="238">
        <f>ROUND($C91*Allocations!$B$16,2)</f>
        <v>570806.59</v>
      </c>
      <c r="AC91" s="241">
        <f>$C91*Allocations!$B$24</f>
        <v>0</v>
      </c>
      <c r="AD91" s="244">
        <f t="shared" si="24"/>
        <v>2419895.27</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3">
        <v>324448.86688982393</v>
      </c>
      <c r="G92" s="240">
        <v>65634.84</v>
      </c>
      <c r="H92" s="429">
        <v>332059.14</v>
      </c>
      <c r="I92" s="390">
        <f>$C92*Allocations!$B$16</f>
        <v>358576.72633270861</v>
      </c>
      <c r="J92" s="237">
        <f t="shared" si="25"/>
        <v>1479963.4932685834</v>
      </c>
      <c r="K92" s="165">
        <f t="shared" si="26"/>
        <v>369990.87</v>
      </c>
      <c r="L92" s="815">
        <v>1457656.27</v>
      </c>
      <c r="M92" s="427">
        <f t="shared" si="27"/>
        <v>1816232.9963327087</v>
      </c>
      <c r="N92" s="239">
        <f t="shared" si="19"/>
        <v>1668972.85</v>
      </c>
      <c r="O92" s="240">
        <f t="shared" si="20"/>
        <v>1668972.85</v>
      </c>
      <c r="P92" s="319"/>
      <c r="Q92" s="320"/>
      <c r="R92" s="320"/>
      <c r="S92" s="321"/>
      <c r="T92" s="330">
        <f>'Project Final Cost Tracking'!C91</f>
        <v>0</v>
      </c>
      <c r="U92" s="341">
        <f t="shared" si="28"/>
        <v>147260.14633270865</v>
      </c>
      <c r="V92" s="340">
        <f t="shared" si="21"/>
        <v>0.39801021666482922</v>
      </c>
      <c r="W92" s="341">
        <f t="shared" si="29"/>
        <v>1760855.4148298975</v>
      </c>
      <c r="X92" s="342">
        <f t="shared" si="22"/>
        <v>0</v>
      </c>
      <c r="Y92" s="239">
        <f t="shared" si="30"/>
        <v>332059.14</v>
      </c>
      <c r="Z92" s="255">
        <f t="shared" si="31"/>
        <v>5.9647596488755211E-3</v>
      </c>
      <c r="AA92" s="240">
        <f t="shared" si="23"/>
        <v>10081.61433311007</v>
      </c>
      <c r="AB92" s="238">
        <f>ROUND($C92*Allocations!$B$16,2)</f>
        <v>358576.73</v>
      </c>
      <c r="AC92" s="241">
        <f>$C92*Allocations!$B$24</f>
        <v>0</v>
      </c>
      <c r="AD92" s="244">
        <f t="shared" si="24"/>
        <v>157341.76000000001</v>
      </c>
      <c r="AE92" s="153"/>
      <c r="AF92" s="141"/>
      <c r="AG92" s="151"/>
      <c r="AH92" s="146"/>
      <c r="AI92" s="145"/>
      <c r="AJ92" s="146"/>
      <c r="AK92" s="151"/>
      <c r="AL92" s="146"/>
      <c r="AM92" s="145"/>
      <c r="AN92" s="146"/>
      <c r="AO92" s="145"/>
      <c r="AP92" s="146"/>
      <c r="AQ92" s="145">
        <f>Union!C6+Union!C7</f>
        <v>1668972.85</v>
      </c>
      <c r="AR92" s="146">
        <f>Union!D6+Union!D7</f>
        <v>1668972.85</v>
      </c>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3">
        <v>371828.3520515007</v>
      </c>
      <c r="G93" s="240">
        <v>75219.539999999994</v>
      </c>
      <c r="H93" s="429">
        <v>348309.35</v>
      </c>
      <c r="I93" s="390">
        <f>$C93*Allocations!$B$16</f>
        <v>552839.19318430894</v>
      </c>
      <c r="J93" s="237">
        <f t="shared" si="25"/>
        <v>1851571.8688125222</v>
      </c>
      <c r="K93" s="165">
        <f t="shared" si="26"/>
        <v>462892.97</v>
      </c>
      <c r="L93" s="815">
        <v>1587755.43</v>
      </c>
      <c r="M93" s="427">
        <f t="shared" si="27"/>
        <v>2140594.6231843089</v>
      </c>
      <c r="N93" s="239">
        <f t="shared" si="19"/>
        <v>0</v>
      </c>
      <c r="O93" s="240">
        <f t="shared" si="20"/>
        <v>0</v>
      </c>
      <c r="P93" s="319"/>
      <c r="Q93" s="320"/>
      <c r="R93" s="320"/>
      <c r="S93" s="321"/>
      <c r="T93" s="330">
        <f>'Project Final Cost Tracking'!C92</f>
        <v>0</v>
      </c>
      <c r="U93" s="341">
        <f t="shared" si="28"/>
        <v>2140594.6231843089</v>
      </c>
      <c r="V93" s="340">
        <f t="shared" si="21"/>
        <v>4.6243835225760916</v>
      </c>
      <c r="W93" s="341">
        <f t="shared" si="29"/>
        <v>4628370.9925136995</v>
      </c>
      <c r="X93" s="342">
        <f t="shared" si="22"/>
        <v>289022.75437178672</v>
      </c>
      <c r="Y93" s="239">
        <f t="shared" si="30"/>
        <v>0</v>
      </c>
      <c r="Z93" s="255">
        <f t="shared" si="31"/>
        <v>0</v>
      </c>
      <c r="AA93" s="240">
        <f t="shared" si="23"/>
        <v>0</v>
      </c>
      <c r="AB93" s="238">
        <f>ROUND($C93*Allocations!$B$16,2)</f>
        <v>552839.18999999994</v>
      </c>
      <c r="AC93" s="241">
        <f>$C93*Allocations!$B$24</f>
        <v>0</v>
      </c>
      <c r="AD93" s="244">
        <f t="shared" si="24"/>
        <v>1851571.87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1">
        <v>460237.2907274068</v>
      </c>
      <c r="G94" s="343">
        <v>93104.35</v>
      </c>
      <c r="H94" s="430">
        <v>670286.68999999994</v>
      </c>
      <c r="I94" s="391">
        <f>$C94*Allocations!$B$16</f>
        <v>668135.35780808527</v>
      </c>
      <c r="J94" s="387">
        <f t="shared" si="25"/>
        <v>2826153.0689959927</v>
      </c>
      <c r="K94" s="168">
        <f t="shared" si="26"/>
        <v>706538.27</v>
      </c>
      <c r="L94" s="816">
        <v>110954.16</v>
      </c>
      <c r="M94" s="428">
        <f t="shared" si="27"/>
        <v>779089.51780808531</v>
      </c>
      <c r="N94" s="305">
        <f t="shared" si="19"/>
        <v>0</v>
      </c>
      <c r="O94" s="343">
        <f t="shared" si="20"/>
        <v>0</v>
      </c>
      <c r="P94" s="344"/>
      <c r="Q94" s="345"/>
      <c r="R94" s="345"/>
      <c r="S94" s="346"/>
      <c r="T94" s="188">
        <f>'Project Final Cost Tracking'!C93</f>
        <v>-6262.6500000000233</v>
      </c>
      <c r="U94" s="348">
        <f t="shared" si="28"/>
        <v>785352.16780808533</v>
      </c>
      <c r="V94" s="347">
        <f t="shared" si="21"/>
        <v>1.1115493684554205</v>
      </c>
      <c r="W94" s="348">
        <f t="shared" si="29"/>
        <v>3791961.2779444689</v>
      </c>
      <c r="X94" s="349">
        <f t="shared" si="22"/>
        <v>0</v>
      </c>
      <c r="Y94" s="305">
        <f t="shared" si="30"/>
        <v>670286.68999999994</v>
      </c>
      <c r="Z94" s="350">
        <f t="shared" si="31"/>
        <v>1.2040322099522195E-2</v>
      </c>
      <c r="AA94" s="343">
        <f t="shared" si="23"/>
        <v>20350.507145193787</v>
      </c>
      <c r="AB94" s="233">
        <f>ROUND($C94*Allocations!$B$16,2)</f>
        <v>668135.36</v>
      </c>
      <c r="AC94" s="242">
        <f>$C94*Allocations!$B$24</f>
        <v>0</v>
      </c>
      <c r="AD94" s="246">
        <f t="shared" si="24"/>
        <v>805702.68</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3">
        <v>841674.07457995531</v>
      </c>
      <c r="G95" s="240">
        <v>170267.64</v>
      </c>
      <c r="H95" s="429">
        <v>878426.21</v>
      </c>
      <c r="I95" s="390">
        <f>$C95*Allocations!$B$16</f>
        <v>856109.71529890643</v>
      </c>
      <c r="J95" s="237">
        <f t="shared" si="25"/>
        <v>3774023.4970212537</v>
      </c>
      <c r="K95" s="165">
        <f t="shared" si="26"/>
        <v>943505.87</v>
      </c>
      <c r="L95" s="815">
        <v>-493084.66</v>
      </c>
      <c r="M95" s="427">
        <f t="shared" si="27"/>
        <v>363025.05529890646</v>
      </c>
      <c r="N95" s="239">
        <f t="shared" si="19"/>
        <v>0</v>
      </c>
      <c r="O95" s="240">
        <f t="shared" si="20"/>
        <v>0</v>
      </c>
      <c r="P95" s="319"/>
      <c r="Q95" s="320"/>
      <c r="R95" s="320"/>
      <c r="S95" s="321"/>
      <c r="T95" s="330">
        <f>'Project Final Cost Tracking'!C94</f>
        <v>0</v>
      </c>
      <c r="U95" s="341">
        <f t="shared" si="28"/>
        <v>363025.05529890646</v>
      </c>
      <c r="V95" s="340">
        <f t="shared" si="21"/>
        <v>0.38476184074923292</v>
      </c>
      <c r="W95" s="341">
        <f t="shared" si="29"/>
        <v>4215518.7741439855</v>
      </c>
      <c r="X95" s="342">
        <f t="shared" si="22"/>
        <v>0</v>
      </c>
      <c r="Y95" s="239">
        <f t="shared" si="30"/>
        <v>878426.21</v>
      </c>
      <c r="Z95" s="255">
        <f t="shared" si="31"/>
        <v>1.5779120586539658E-2</v>
      </c>
      <c r="AA95" s="240">
        <f t="shared" si="23"/>
        <v>26669.810291370253</v>
      </c>
      <c r="AB95" s="238">
        <f>ROUND($C95*Allocations!$B$16,2)</f>
        <v>856109.72</v>
      </c>
      <c r="AC95" s="241">
        <f>$C95*Allocations!$B$24</f>
        <v>0</v>
      </c>
      <c r="AD95" s="244">
        <f t="shared" si="24"/>
        <v>389694.87</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3">
        <v>445469.13749889022</v>
      </c>
      <c r="G96" s="240">
        <v>90116.81</v>
      </c>
      <c r="H96" s="429">
        <v>407872.32</v>
      </c>
      <c r="I96" s="390">
        <f>$C96*Allocations!$B$16</f>
        <v>465333.30635303707</v>
      </c>
      <c r="J96" s="237">
        <f t="shared" si="25"/>
        <v>1946656.19951126</v>
      </c>
      <c r="K96" s="165">
        <f t="shared" si="26"/>
        <v>486664.05</v>
      </c>
      <c r="L96" s="815">
        <v>1217588.28</v>
      </c>
      <c r="M96" s="427">
        <f t="shared" si="27"/>
        <v>1682921.586353037</v>
      </c>
      <c r="N96" s="239">
        <f t="shared" si="19"/>
        <v>857116.9</v>
      </c>
      <c r="O96" s="240">
        <f t="shared" si="20"/>
        <v>857116.9</v>
      </c>
      <c r="P96" s="319"/>
      <c r="Q96" s="320"/>
      <c r="R96" s="320"/>
      <c r="S96" s="321"/>
      <c r="T96" s="330">
        <f>'Project Final Cost Tracking'!C95</f>
        <v>0</v>
      </c>
      <c r="U96" s="341">
        <f t="shared" si="28"/>
        <v>825804.68635303702</v>
      </c>
      <c r="V96" s="340">
        <f t="shared" si="21"/>
        <v>1.6968680681324972</v>
      </c>
      <c r="W96" s="341">
        <f t="shared" si="29"/>
        <v>2919804.5649417038</v>
      </c>
      <c r="X96" s="342">
        <f t="shared" si="22"/>
        <v>0</v>
      </c>
      <c r="Y96" s="239">
        <f t="shared" si="30"/>
        <v>407872.32</v>
      </c>
      <c r="Z96" s="255">
        <f t="shared" si="31"/>
        <v>7.326587535669833E-3</v>
      </c>
      <c r="AA96" s="240">
        <f t="shared" si="23"/>
        <v>12383.370707371154</v>
      </c>
      <c r="AB96" s="238">
        <f>ROUND($C96*Allocations!$B$16,2)</f>
        <v>465333.31</v>
      </c>
      <c r="AC96" s="241">
        <f>$C96*Allocations!$B$24</f>
        <v>0</v>
      </c>
      <c r="AD96" s="244">
        <f t="shared" si="24"/>
        <v>838188.06</v>
      </c>
      <c r="AE96" s="153"/>
      <c r="AF96" s="141"/>
      <c r="AG96" s="151"/>
      <c r="AH96" s="146"/>
      <c r="AI96" s="145"/>
      <c r="AJ96" s="146"/>
      <c r="AK96" s="151"/>
      <c r="AL96" s="146"/>
      <c r="AM96" s="145"/>
      <c r="AN96" s="146"/>
      <c r="AO96" s="145"/>
      <c r="AP96" s="146"/>
      <c r="AQ96" s="145"/>
      <c r="AR96" s="146"/>
      <c r="AS96" s="145"/>
      <c r="AT96" s="146"/>
      <c r="AU96" s="145">
        <f>Washington!C9</f>
        <v>857116.9</v>
      </c>
      <c r="AV96" s="146">
        <f>Washington!D9</f>
        <v>857116.9</v>
      </c>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3">
        <v>298025.94596490619</v>
      </c>
      <c r="G97" s="240">
        <v>60289.58</v>
      </c>
      <c r="H97" s="429">
        <v>280653.37</v>
      </c>
      <c r="I97" s="390">
        <f>$C97*Allocations!$B$16</f>
        <v>288939.66486943158</v>
      </c>
      <c r="J97" s="237">
        <f t="shared" si="25"/>
        <v>1326766.258352269</v>
      </c>
      <c r="K97" s="165">
        <f t="shared" si="26"/>
        <v>331691.56</v>
      </c>
      <c r="L97" s="815">
        <v>465668.22</v>
      </c>
      <c r="M97" s="427">
        <f t="shared" si="27"/>
        <v>754607.88486943161</v>
      </c>
      <c r="N97" s="239">
        <f t="shared" si="19"/>
        <v>626193.72</v>
      </c>
      <c r="O97" s="240">
        <f t="shared" si="20"/>
        <v>626193.72</v>
      </c>
      <c r="P97" s="319"/>
      <c r="Q97" s="320"/>
      <c r="R97" s="320"/>
      <c r="S97" s="321"/>
      <c r="T97" s="330">
        <f>'Project Final Cost Tracking'!C96</f>
        <v>0</v>
      </c>
      <c r="U97" s="341">
        <f t="shared" si="28"/>
        <v>128414.16486943164</v>
      </c>
      <c r="V97" s="340">
        <f t="shared" si="21"/>
        <v>0.3871493289411152</v>
      </c>
      <c r="W97" s="341">
        <f t="shared" si="29"/>
        <v>1428642.6567818737</v>
      </c>
      <c r="X97" s="342">
        <f t="shared" si="22"/>
        <v>0</v>
      </c>
      <c r="Y97" s="239">
        <f t="shared" si="30"/>
        <v>280653.37</v>
      </c>
      <c r="Z97" s="255">
        <f t="shared" si="31"/>
        <v>5.0413606946549689E-3</v>
      </c>
      <c r="AA97" s="240">
        <f t="shared" si="23"/>
        <v>8520.8888923450304</v>
      </c>
      <c r="AB97" s="238">
        <f>ROUND($C97*Allocations!$B$16,2)</f>
        <v>288939.65999999997</v>
      </c>
      <c r="AC97" s="241">
        <f>$C97*Allocations!$B$24</f>
        <v>0</v>
      </c>
      <c r="AD97" s="244">
        <f t="shared" si="24"/>
        <v>136935.04999999999</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3">
        <v>803143.57086850109</v>
      </c>
      <c r="G98" s="240">
        <v>162473.06</v>
      </c>
      <c r="H98" s="429">
        <v>812836.44</v>
      </c>
      <c r="I98" s="390">
        <f>$C98*Allocations!$B$16</f>
        <v>751495.44737653527</v>
      </c>
      <c r="J98" s="237">
        <f t="shared" si="25"/>
        <v>3419942.1322110817</v>
      </c>
      <c r="K98" s="165">
        <f t="shared" si="26"/>
        <v>854985.53</v>
      </c>
      <c r="L98" s="815">
        <v>981670.40000000002</v>
      </c>
      <c r="M98" s="427">
        <f t="shared" si="27"/>
        <v>1733165.8473765352</v>
      </c>
      <c r="N98" s="239">
        <f t="shared" si="19"/>
        <v>0</v>
      </c>
      <c r="O98" s="240">
        <f t="shared" si="20"/>
        <v>0</v>
      </c>
      <c r="P98" s="319"/>
      <c r="Q98" s="320"/>
      <c r="R98" s="320"/>
      <c r="S98" s="321"/>
      <c r="T98" s="330">
        <f>'Project Final Cost Tracking'!C97</f>
        <v>0</v>
      </c>
      <c r="U98" s="341">
        <f t="shared" si="28"/>
        <v>1733165.8473765352</v>
      </c>
      <c r="V98" s="340">
        <f t="shared" si="21"/>
        <v>2.0271288654166288</v>
      </c>
      <c r="W98" s="341">
        <f t="shared" si="29"/>
        <v>5114895.3605709439</v>
      </c>
      <c r="X98" s="342">
        <f t="shared" si="22"/>
        <v>0</v>
      </c>
      <c r="Y98" s="239">
        <f t="shared" si="30"/>
        <v>812836.44</v>
      </c>
      <c r="Z98" s="255">
        <f t="shared" si="31"/>
        <v>1.4600935238366359E-2</v>
      </c>
      <c r="AA98" s="240">
        <f t="shared" si="23"/>
        <v>24678.445845454404</v>
      </c>
      <c r="AB98" s="238">
        <f>ROUND($C98*Allocations!$B$16,2)</f>
        <v>751495.45</v>
      </c>
      <c r="AC98" s="241">
        <f>$C98*Allocations!$B$24</f>
        <v>0</v>
      </c>
      <c r="AD98" s="244">
        <f t="shared" si="24"/>
        <v>1757844.3</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1">
        <v>193488.29123723489</v>
      </c>
      <c r="G99" s="343">
        <v>39141.99</v>
      </c>
      <c r="H99" s="430">
        <v>158740.45000000001</v>
      </c>
      <c r="I99" s="391">
        <f>$C99*Allocations!$B$16</f>
        <v>183185.94531701572</v>
      </c>
      <c r="J99" s="387">
        <f t="shared" si="25"/>
        <v>794139.43515083671</v>
      </c>
      <c r="K99" s="168">
        <f t="shared" si="26"/>
        <v>198534.86</v>
      </c>
      <c r="L99" s="816">
        <v>-163989.44</v>
      </c>
      <c r="M99" s="428">
        <f t="shared" si="27"/>
        <v>19196.505317015719</v>
      </c>
      <c r="N99" s="305">
        <f t="shared" si="19"/>
        <v>0</v>
      </c>
      <c r="O99" s="343">
        <f t="shared" si="20"/>
        <v>0</v>
      </c>
      <c r="P99" s="344"/>
      <c r="Q99" s="345"/>
      <c r="R99" s="345"/>
      <c r="S99" s="346"/>
      <c r="T99" s="188">
        <f>'Project Final Cost Tracking'!C98</f>
        <v>-3011.710000000021</v>
      </c>
      <c r="U99" s="348">
        <f t="shared" si="28"/>
        <v>22208.21531701574</v>
      </c>
      <c r="V99" s="347">
        <f t="shared" si="21"/>
        <v>0.11186053329382931</v>
      </c>
      <c r="W99" s="348">
        <f t="shared" si="29"/>
        <v>846544.96924358653</v>
      </c>
      <c r="X99" s="349">
        <f t="shared" si="22"/>
        <v>0</v>
      </c>
      <c r="Y99" s="305">
        <f t="shared" si="30"/>
        <v>158740.45000000001</v>
      </c>
      <c r="Z99" s="350">
        <f t="shared" si="31"/>
        <v>2.8514457719921284E-3</v>
      </c>
      <c r="AA99" s="343">
        <f t="shared" si="23"/>
        <v>4819.5029233778732</v>
      </c>
      <c r="AB99" s="233">
        <f>ROUND($C99*Allocations!$B$16,2)</f>
        <v>183185.95</v>
      </c>
      <c r="AC99" s="242">
        <f>$C99*Allocations!$B$24</f>
        <v>0</v>
      </c>
      <c r="AD99" s="246">
        <f t="shared" si="24"/>
        <v>27027.72</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3">
        <v>717900.32219814032</v>
      </c>
      <c r="G100" s="240">
        <v>145228.66</v>
      </c>
      <c r="H100" s="429">
        <v>642020.15</v>
      </c>
      <c r="I100" s="390">
        <f>$C100*Allocations!$B$16</f>
        <v>637406.65408010129</v>
      </c>
      <c r="J100" s="237">
        <f t="shared" si="25"/>
        <v>3075993.6132882931</v>
      </c>
      <c r="K100" s="165">
        <f t="shared" si="26"/>
        <v>768998.40000000002</v>
      </c>
      <c r="L100" s="815">
        <v>-1415068.43</v>
      </c>
      <c r="M100" s="427">
        <f t="shared" si="27"/>
        <v>-777661.77591989865</v>
      </c>
      <c r="N100" s="239">
        <f t="shared" si="19"/>
        <v>0</v>
      </c>
      <c r="O100" s="240">
        <f t="shared" si="20"/>
        <v>0</v>
      </c>
      <c r="P100" s="319"/>
      <c r="Q100" s="320"/>
      <c r="R100" s="320"/>
      <c r="S100" s="321"/>
      <c r="T100" s="330">
        <f>'Project Final Cost Tracking'!C99</f>
        <v>0</v>
      </c>
      <c r="U100" s="341">
        <f t="shared" si="28"/>
        <v>-777661.77591989865</v>
      </c>
      <c r="V100" s="340">
        <f t="shared" si="21"/>
        <v>-1.0112657918662751</v>
      </c>
      <c r="W100" s="341">
        <f t="shared" si="29"/>
        <v>2090668.1674405572</v>
      </c>
      <c r="X100" s="342">
        <f t="shared" si="22"/>
        <v>0</v>
      </c>
      <c r="Y100" s="239">
        <f t="shared" si="30"/>
        <v>642020.15</v>
      </c>
      <c r="Z100" s="255">
        <f t="shared" si="31"/>
        <v>1.1532571831888166E-2</v>
      </c>
      <c r="AA100" s="240">
        <f t="shared" si="23"/>
        <v>19492.309551802959</v>
      </c>
      <c r="AB100" s="238">
        <f>ROUND($C100*Allocations!$B$16,2)</f>
        <v>637406.65</v>
      </c>
      <c r="AC100" s="241">
        <f>$C100*Allocations!$B$24</f>
        <v>0</v>
      </c>
      <c r="AD100" s="244">
        <f t="shared" si="24"/>
        <v>-758169.47</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3">
        <v>1075096.063453597</v>
      </c>
      <c r="G101" s="240">
        <v>217488.07</v>
      </c>
      <c r="H101" s="429">
        <v>1171343.8999999999</v>
      </c>
      <c r="I101" s="390">
        <f>$C101*Allocations!$B$16</f>
        <v>1160635.0592072522</v>
      </c>
      <c r="J101" s="237">
        <f t="shared" si="25"/>
        <v>4865083.8796093045</v>
      </c>
      <c r="K101" s="165">
        <f t="shared" si="26"/>
        <v>1216270.97</v>
      </c>
      <c r="L101" s="815">
        <v>865119.16</v>
      </c>
      <c r="M101" s="427">
        <f t="shared" si="27"/>
        <v>2025754.2192072524</v>
      </c>
      <c r="N101" s="239">
        <f t="shared" si="19"/>
        <v>3018901.9</v>
      </c>
      <c r="O101" s="240">
        <f t="shared" si="20"/>
        <v>2267383.9500000002</v>
      </c>
      <c r="P101" s="319"/>
      <c r="Q101" s="320"/>
      <c r="R101" s="320"/>
      <c r="S101" s="321"/>
      <c r="T101" s="330">
        <f>'Project Final Cost Tracking'!C100</f>
        <v>32784.98000000004</v>
      </c>
      <c r="U101" s="341">
        <f t="shared" si="28"/>
        <v>-274414.71079274785</v>
      </c>
      <c r="V101" s="340">
        <f t="shared" si="21"/>
        <v>-0.22561971596900637</v>
      </c>
      <c r="W101" s="341">
        <f t="shared" si="29"/>
        <v>4948443.0556398872</v>
      </c>
      <c r="X101" s="342">
        <f t="shared" si="22"/>
        <v>0</v>
      </c>
      <c r="Y101" s="239">
        <f t="shared" si="30"/>
        <v>1171343.8999999999</v>
      </c>
      <c r="Z101" s="255">
        <f t="shared" si="31"/>
        <v>2.1040784571316067E-2</v>
      </c>
      <c r="AA101" s="240">
        <f t="shared" si="23"/>
        <v>35563.054976414882</v>
      </c>
      <c r="AB101" s="238">
        <f>ROUND($C101*Allocations!$B$16,2)</f>
        <v>1160635.06</v>
      </c>
      <c r="AC101" s="241">
        <f>$C101*Allocations!$B$24</f>
        <v>0</v>
      </c>
      <c r="AD101" s="244">
        <f t="shared" si="24"/>
        <v>-238851.66</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3">
        <v>232546.38207642795</v>
      </c>
      <c r="G102" s="240">
        <v>47043.3</v>
      </c>
      <c r="H102" s="429">
        <v>250473.91</v>
      </c>
      <c r="I102" s="390">
        <f>$C102*Allocations!$B$16</f>
        <v>254968.81343204257</v>
      </c>
      <c r="J102" s="237">
        <f t="shared" si="25"/>
        <v>1096277.6872728993</v>
      </c>
      <c r="K102" s="165">
        <f t="shared" si="26"/>
        <v>274069.42</v>
      </c>
      <c r="L102" s="815">
        <v>35956.86</v>
      </c>
      <c r="M102" s="427">
        <f t="shared" si="27"/>
        <v>290925.67343204259</v>
      </c>
      <c r="N102" s="239">
        <f t="shared" si="19"/>
        <v>0</v>
      </c>
      <c r="O102" s="240">
        <f t="shared" si="20"/>
        <v>0</v>
      </c>
      <c r="P102" s="319"/>
      <c r="Q102" s="320"/>
      <c r="R102" s="320"/>
      <c r="S102" s="321"/>
      <c r="T102" s="330">
        <f>'Project Final Cost Tracking'!C101</f>
        <v>0</v>
      </c>
      <c r="U102" s="341">
        <f t="shared" si="28"/>
        <v>290925.67343204259</v>
      </c>
      <c r="V102" s="340">
        <f t="shared" si="21"/>
        <v>1.0615035907035619</v>
      </c>
      <c r="W102" s="341">
        <f t="shared" si="29"/>
        <v>1438285.3338762342</v>
      </c>
      <c r="X102" s="342">
        <f t="shared" si="22"/>
        <v>0</v>
      </c>
      <c r="Y102" s="239">
        <f t="shared" si="30"/>
        <v>250473.91</v>
      </c>
      <c r="Z102" s="255">
        <f t="shared" si="31"/>
        <v>4.4992487526892911E-3</v>
      </c>
      <c r="AA102" s="240">
        <f t="shared" si="23"/>
        <v>7604.613326186779</v>
      </c>
      <c r="AB102" s="238">
        <f>ROUND($C102*Allocations!$B$16,2)</f>
        <v>254968.81</v>
      </c>
      <c r="AC102" s="241">
        <f>$C102*Allocations!$B$24</f>
        <v>0</v>
      </c>
      <c r="AD102" s="244">
        <f t="shared" si="24"/>
        <v>298530.28000000003</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3">
        <v>565982.29342356045</v>
      </c>
      <c r="G103" s="343">
        <v>114496.18</v>
      </c>
      <c r="H103" s="430">
        <v>558821.21</v>
      </c>
      <c r="I103" s="391">
        <f>$C103*Allocations!$B$16</f>
        <v>563883.0884376145</v>
      </c>
      <c r="J103" s="387">
        <f t="shared" si="25"/>
        <v>2475806.4307361068</v>
      </c>
      <c r="K103" s="168">
        <f t="shared" si="26"/>
        <v>618951.61</v>
      </c>
      <c r="L103" s="817">
        <v>1332660.71</v>
      </c>
      <c r="M103" s="427">
        <f t="shared" si="27"/>
        <v>1896543.7984376145</v>
      </c>
      <c r="N103" s="239">
        <f t="shared" si="19"/>
        <v>743721.19</v>
      </c>
      <c r="O103" s="240">
        <f t="shared" si="20"/>
        <v>743721.19</v>
      </c>
      <c r="P103" s="344"/>
      <c r="Q103" s="345"/>
      <c r="R103" s="345"/>
      <c r="S103" s="346"/>
      <c r="T103" s="330">
        <f>'Project Final Cost Tracking'!C102</f>
        <v>17689.430000000051</v>
      </c>
      <c r="U103" s="341">
        <f t="shared" si="28"/>
        <v>1135133.1784376143</v>
      </c>
      <c r="V103" s="347">
        <f t="shared" si="21"/>
        <v>1.8339611047099698</v>
      </c>
      <c r="W103" s="348">
        <f t="shared" si="29"/>
        <v>3672607.0764068798</v>
      </c>
      <c r="X103" s="342">
        <f t="shared" si="22"/>
        <v>0</v>
      </c>
      <c r="Y103" s="239">
        <f t="shared" si="30"/>
        <v>558821.21</v>
      </c>
      <c r="Z103" s="350">
        <f t="shared" si="31"/>
        <v>1.0038073953765565E-2</v>
      </c>
      <c r="AA103" s="240">
        <f t="shared" si="23"/>
        <v>16966.314856991772</v>
      </c>
      <c r="AB103" s="238">
        <f>ROUND($C103*Allocations!$B$16,2)</f>
        <v>563883.09</v>
      </c>
      <c r="AC103" s="241">
        <f>$C103*Allocations!$B$24</f>
        <v>0</v>
      </c>
      <c r="AD103" s="244">
        <f t="shared" si="24"/>
        <v>1152099.49</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57">
        <f>SUM(G5:G103)</f>
        <v>11609874.010000004</v>
      </c>
      <c r="H104" s="658">
        <f>SUM(H5:H103)</f>
        <v>57781622.000000022</v>
      </c>
      <c r="I104" s="389">
        <f>SUM(I5:I103)</f>
        <v>57547530.999999993</v>
      </c>
      <c r="J104" s="388">
        <f t="shared" si="32"/>
        <v>252441129.50700003</v>
      </c>
      <c r="K104" s="352">
        <f t="shared" si="32"/>
        <v>63110282.410000011</v>
      </c>
      <c r="L104" s="353">
        <f>SUM(L5:L103)</f>
        <v>65235647.18</v>
      </c>
      <c r="M104" s="354">
        <f t="shared" si="32"/>
        <v>122783178.17999998</v>
      </c>
      <c r="N104" s="332">
        <f t="shared" si="32"/>
        <v>47702929.450000003</v>
      </c>
      <c r="O104" s="355">
        <f t="shared" si="32"/>
        <v>43446356.786000006</v>
      </c>
      <c r="P104" s="356">
        <f>SUM(P5:P103)</f>
        <v>0</v>
      </c>
      <c r="Q104" s="357">
        <f>SUM(Q5:Q103)</f>
        <v>0</v>
      </c>
      <c r="R104" s="357">
        <f>SUM(R5:R103)</f>
        <v>0</v>
      </c>
      <c r="S104" s="358">
        <f>SUM(S5:S103)</f>
        <v>0</v>
      </c>
      <c r="T104" s="359">
        <f t="shared" si="32"/>
        <v>413302.27000000031</v>
      </c>
      <c r="U104" s="360">
        <f t="shared" si="32"/>
        <v>78923519.123999983</v>
      </c>
      <c r="V104" s="361"/>
      <c r="W104" s="362"/>
      <c r="X104" s="254">
        <f t="shared" ref="X104:AD104" si="33">SUM(X5:X103)</f>
        <v>1690196.2403482024</v>
      </c>
      <c r="Y104" s="331">
        <f t="shared" si="33"/>
        <v>55670162.680000015</v>
      </c>
      <c r="Z104" s="363">
        <f t="shared" si="33"/>
        <v>0.99999999999999956</v>
      </c>
      <c r="AA104" s="332">
        <f t="shared" si="33"/>
        <v>1690196.2403482022</v>
      </c>
      <c r="AB104" s="250">
        <f t="shared" si="33"/>
        <v>57547531.010000028</v>
      </c>
      <c r="AC104" s="251">
        <f>SUM(AC5:AC103)</f>
        <v>0</v>
      </c>
      <c r="AD104" s="252">
        <f t="shared" si="33"/>
        <v>78923519.12000002</v>
      </c>
      <c r="AE104" s="44">
        <f t="shared" ref="AE104:BC104" si="34">SUM(AE5:AE103)</f>
        <v>2749109.79</v>
      </c>
      <c r="AF104" s="43">
        <f t="shared" si="34"/>
        <v>2747109.79</v>
      </c>
      <c r="AG104" s="42">
        <f t="shared" si="34"/>
        <v>4204749.79</v>
      </c>
      <c r="AH104" s="37">
        <f t="shared" si="34"/>
        <v>4204749.79</v>
      </c>
      <c r="AI104" s="598">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5328624.8699999992</v>
      </c>
      <c r="AR104" s="41">
        <f t="shared" si="34"/>
        <v>4368624.8699999992</v>
      </c>
      <c r="AS104" s="38">
        <f t="shared" si="34"/>
        <v>3804119.91</v>
      </c>
      <c r="AT104" s="37">
        <f t="shared" si="34"/>
        <v>2561025.66</v>
      </c>
      <c r="AU104" s="40">
        <f t="shared" si="34"/>
        <v>1363105.5</v>
      </c>
      <c r="AV104" s="39">
        <f t="shared" si="34"/>
        <v>1363105.5</v>
      </c>
      <c r="AW104" s="39">
        <f t="shared" si="34"/>
        <v>0</v>
      </c>
      <c r="AX104" s="39">
        <f t="shared" si="34"/>
        <v>0</v>
      </c>
      <c r="AY104" s="40">
        <f t="shared" si="34"/>
        <v>2630723.4300000002</v>
      </c>
      <c r="AZ104" s="39">
        <f t="shared" si="34"/>
        <v>1350762.966</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81.984094894636485</v>
      </c>
      <c r="AT105" s="32">
        <f>IF(AS104=0,0,(AT104/AS104)*100)</f>
        <v>67.322422021129185</v>
      </c>
      <c r="AV105" s="32">
        <f>IF(AU104=0,0,(AV104/AU104)*100)</f>
        <v>100</v>
      </c>
      <c r="AX105" s="114">
        <f>IF(AW104=0,0,(AX104/AW104)*100)</f>
        <v>0</v>
      </c>
      <c r="AZ105" s="32">
        <f>IF(AY104=0,0,(AZ104/AY104)*100)</f>
        <v>51.345685015623246</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1:C1"/>
    <mergeCell ref="A2:A4"/>
    <mergeCell ref="B2:B4"/>
    <mergeCell ref="C2:C4"/>
    <mergeCell ref="D3:D4"/>
    <mergeCell ref="D2:K2"/>
    <mergeCell ref="K3:K4"/>
    <mergeCell ref="J3:J4"/>
    <mergeCell ref="E3:E4"/>
    <mergeCell ref="F3:F4"/>
    <mergeCell ref="G3:G4"/>
    <mergeCell ref="H3:H4"/>
    <mergeCell ref="I3:I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A16" sqref="A16:XFD16"/>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786</v>
      </c>
      <c r="B1" s="3"/>
      <c r="C1" s="1"/>
      <c r="D1" s="1"/>
      <c r="E1" s="1"/>
      <c r="F1" s="1"/>
      <c r="G1" s="1"/>
      <c r="H1" s="1"/>
      <c r="I1" s="1"/>
      <c r="J1" s="1"/>
      <c r="K1" s="1"/>
      <c r="L1" s="1"/>
      <c r="M1" s="1"/>
      <c r="N1" s="1"/>
      <c r="O1" s="1"/>
      <c r="P1" s="1"/>
      <c r="Q1" s="1"/>
      <c r="R1" s="1"/>
      <c r="S1" s="1"/>
      <c r="T1" s="1"/>
      <c r="U1" s="1"/>
      <c r="V1" s="1"/>
      <c r="W1" s="1"/>
      <c r="X1" s="1"/>
      <c r="Y1" s="1"/>
      <c r="Z1" s="1"/>
      <c r="AA1" s="1"/>
    </row>
    <row r="2" spans="1:27">
      <c r="B2" s="937" t="s">
        <v>558</v>
      </c>
      <c r="C2" s="938"/>
      <c r="D2" s="939"/>
      <c r="E2" s="134"/>
      <c r="F2" s="292" t="s">
        <v>549</v>
      </c>
      <c r="G2" s="285"/>
      <c r="H2" s="285"/>
    </row>
    <row r="3" spans="1:27">
      <c r="B3" s="298">
        <v>4030719</v>
      </c>
      <c r="C3" s="940" t="s">
        <v>559</v>
      </c>
      <c r="D3" s="941"/>
      <c r="E3" s="303"/>
      <c r="F3" s="296">
        <v>97705648</v>
      </c>
      <c r="G3" s="285"/>
      <c r="H3" s="285"/>
    </row>
    <row r="4" spans="1:27" ht="15.75" thickBot="1">
      <c r="B4" s="298">
        <v>3250000</v>
      </c>
      <c r="C4" s="940" t="s">
        <v>572</v>
      </c>
      <c r="D4" s="941"/>
      <c r="E4" s="303"/>
      <c r="F4" s="293"/>
      <c r="G4" s="285"/>
      <c r="H4" s="945" t="s">
        <v>562</v>
      </c>
      <c r="I4" s="945"/>
      <c r="J4" s="945"/>
      <c r="K4" s="945"/>
    </row>
    <row r="5" spans="1:27" ht="15.75" thickBot="1">
      <c r="B5" s="300">
        <f>B3+B4</f>
        <v>7280719</v>
      </c>
      <c r="C5" s="949" t="s">
        <v>561</v>
      </c>
      <c r="D5" s="950"/>
      <c r="E5" s="303"/>
      <c r="F5" s="292" t="s">
        <v>550</v>
      </c>
      <c r="G5" s="285"/>
      <c r="H5" s="943" t="s">
        <v>558</v>
      </c>
      <c r="I5" s="944"/>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48">
        <v>93410180</v>
      </c>
      <c r="C8" s="948"/>
      <c r="D8" s="281"/>
      <c r="E8" s="281"/>
      <c r="H8" s="300">
        <f>H6+H7</f>
        <v>7280719</v>
      </c>
      <c r="I8" s="301" t="s">
        <v>561</v>
      </c>
    </row>
    <row r="9" spans="1:27">
      <c r="A9" s="284" t="s">
        <v>527</v>
      </c>
      <c r="B9" s="946">
        <f>67423744+11223466+7564848*0.5</f>
        <v>82429634</v>
      </c>
      <c r="C9" s="946"/>
      <c r="D9" s="281" t="s">
        <v>886</v>
      </c>
      <c r="E9" s="281"/>
    </row>
    <row r="10" spans="1:27">
      <c r="A10" s="2" t="s">
        <v>528</v>
      </c>
      <c r="B10" s="144">
        <v>100</v>
      </c>
      <c r="C10" s="144">
        <f>B10</f>
        <v>100</v>
      </c>
      <c r="D10" t="s">
        <v>529</v>
      </c>
      <c r="I10" s="327" t="s">
        <v>887</v>
      </c>
    </row>
    <row r="11" spans="1:27">
      <c r="A11" s="2" t="s">
        <v>542</v>
      </c>
      <c r="B11" s="276">
        <v>0.80100000000000005</v>
      </c>
      <c r="C11" s="276">
        <v>0.19900000000000001</v>
      </c>
      <c r="D11" s="276"/>
      <c r="E11" s="276"/>
      <c r="G11" s="22"/>
      <c r="I11" s="659" t="s">
        <v>888</v>
      </c>
    </row>
    <row r="12" spans="1:27">
      <c r="A12" s="284" t="s">
        <v>541</v>
      </c>
      <c r="B12" s="286">
        <f>ROUND((B9-H6)*B11,0)</f>
        <v>62797531</v>
      </c>
      <c r="C12" s="286">
        <f>ROUND((B9-H6)*C11,0)</f>
        <v>15601384</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57547531</v>
      </c>
      <c r="C16" s="290">
        <f>C12+C14+C15</f>
        <v>19632103</v>
      </c>
      <c r="D16" s="281"/>
      <c r="E16" s="281"/>
    </row>
    <row r="17" spans="1:9">
      <c r="A17" s="2"/>
      <c r="B17" s="9"/>
    </row>
    <row r="18" spans="1:9" ht="14.45" customHeight="1">
      <c r="A18" s="2" t="s">
        <v>524</v>
      </c>
      <c r="B18" s="948">
        <v>37914363</v>
      </c>
      <c r="C18" s="948"/>
      <c r="D18" s="281"/>
      <c r="E18" s="281"/>
      <c r="F18" s="942" t="s">
        <v>557</v>
      </c>
      <c r="G18" s="942"/>
      <c r="H18" s="942"/>
    </row>
    <row r="19" spans="1:9">
      <c r="A19" s="2" t="s">
        <v>525</v>
      </c>
      <c r="B19" s="947">
        <v>0.51800000000000002</v>
      </c>
      <c r="C19" s="947"/>
      <c r="D19" s="276" t="s">
        <v>674</v>
      </c>
      <c r="E19" s="276"/>
      <c r="F19" s="942"/>
      <c r="G19" s="942"/>
      <c r="H19" s="942"/>
    </row>
    <row r="20" spans="1:9">
      <c r="A20" s="284" t="s">
        <v>523</v>
      </c>
      <c r="B20" s="946">
        <v>0</v>
      </c>
      <c r="C20" s="946"/>
      <c r="D20" s="281"/>
      <c r="E20" s="281"/>
      <c r="F20" s="942"/>
      <c r="G20" s="942"/>
      <c r="H20" s="942"/>
    </row>
    <row r="21" spans="1:9">
      <c r="A21" s="2" t="s">
        <v>532</v>
      </c>
      <c r="B21" s="276">
        <f>B11</f>
        <v>0.80100000000000005</v>
      </c>
      <c r="C21" s="276">
        <f>C11</f>
        <v>0.19900000000000001</v>
      </c>
      <c r="D21" s="276"/>
      <c r="E21" s="276"/>
      <c r="F21" s="942"/>
      <c r="G21" s="942"/>
      <c r="H21" s="942"/>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36" t="s">
        <v>662</v>
      </c>
      <c r="H23" s="936"/>
      <c r="I23" s="936"/>
    </row>
    <row r="24" spans="1:9">
      <c r="A24" s="289" t="s">
        <v>543</v>
      </c>
      <c r="B24" s="290">
        <f>B22-B23</f>
        <v>0</v>
      </c>
      <c r="C24" s="290">
        <f>C22-C23</f>
        <v>0</v>
      </c>
      <c r="D24" s="281"/>
      <c r="E24" s="281"/>
      <c r="G24" s="936"/>
      <c r="H24" s="936"/>
      <c r="I24" s="936"/>
    </row>
    <row r="25" spans="1:9" s="292" customFormat="1">
      <c r="A25" s="277"/>
      <c r="B25" s="280"/>
      <c r="C25" s="280"/>
      <c r="D25" s="328"/>
      <c r="E25" s="328"/>
    </row>
    <row r="26" spans="1:9" s="292" customFormat="1">
      <c r="A26" s="277"/>
      <c r="B26" s="280"/>
      <c r="C26" s="280"/>
      <c r="D26" s="328"/>
      <c r="E26" s="328"/>
      <c r="G26" s="936" t="s">
        <v>663</v>
      </c>
      <c r="H26" s="936"/>
      <c r="I26" s="936"/>
    </row>
    <row r="27" spans="1:9">
      <c r="B27" s="287"/>
      <c r="C27" s="287"/>
      <c r="D27" s="4" t="s">
        <v>637</v>
      </c>
      <c r="E27" s="4"/>
      <c r="G27" s="936"/>
      <c r="H27" s="936"/>
      <c r="I27" s="936"/>
    </row>
    <row r="28" spans="1:9">
      <c r="A28" s="289" t="s">
        <v>634</v>
      </c>
      <c r="B28" s="290">
        <f>B16+B24</f>
        <v>57547531</v>
      </c>
      <c r="C28" s="290">
        <f>C16+C24</f>
        <v>19632103</v>
      </c>
      <c r="D28" s="281">
        <f>B28+C28</f>
        <v>77179634</v>
      </c>
      <c r="E28" s="281"/>
    </row>
    <row r="29" spans="1:9">
      <c r="A29" s="289" t="s">
        <v>635</v>
      </c>
      <c r="B29" s="290">
        <f>-B13+B16+B22</f>
        <v>59547531</v>
      </c>
      <c r="C29" s="290">
        <f>C16+C24</f>
        <v>19632103</v>
      </c>
      <c r="D29" s="281">
        <f t="shared" ref="D29:D30" si="0">B29+C29</f>
        <v>79179634</v>
      </c>
      <c r="G29" s="936" t="s">
        <v>784</v>
      </c>
      <c r="H29" s="936"/>
      <c r="I29" s="936"/>
    </row>
    <row r="30" spans="1:9">
      <c r="A30" s="289" t="s">
        <v>636</v>
      </c>
      <c r="B30" s="290">
        <f>-B13-B15+B16+B22</f>
        <v>62797531</v>
      </c>
      <c r="C30" s="290">
        <f>C16+C24</f>
        <v>19632103</v>
      </c>
      <c r="D30" s="281">
        <f t="shared" si="0"/>
        <v>82429634</v>
      </c>
      <c r="G30" s="936"/>
      <c r="H30" s="936"/>
      <c r="I30" s="936"/>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54" t="s">
        <v>0</v>
      </c>
      <c r="B1" s="956" t="s">
        <v>1</v>
      </c>
      <c r="C1" s="951" t="s">
        <v>114</v>
      </c>
      <c r="D1" s="17"/>
    </row>
    <row r="2" spans="1:4">
      <c r="A2" s="954"/>
      <c r="B2" s="956"/>
      <c r="C2" s="952"/>
      <c r="D2" s="17"/>
    </row>
    <row r="3" spans="1:4" ht="18.600000000000001" customHeight="1">
      <c r="A3" s="955"/>
      <c r="B3" s="957"/>
      <c r="C3" s="953"/>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-13543.189999999944</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138063.04999999993</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22918.799999999988</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28191.799999999988</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695.30000000004657</v>
      </c>
    </row>
    <row r="55" spans="1:3">
      <c r="A55" s="7" t="s">
        <v>53</v>
      </c>
      <c r="B55" s="6">
        <v>52</v>
      </c>
      <c r="C55" s="23">
        <f>Johnson!J15</f>
        <v>0</v>
      </c>
    </row>
    <row r="56" spans="1:3">
      <c r="A56" s="7" t="s">
        <v>54</v>
      </c>
      <c r="B56" s="6">
        <v>53</v>
      </c>
      <c r="C56" s="23">
        <f>Jones!J18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-27751.200000000041</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-40077</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83618.249999999825</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-3011.710000000021</v>
      </c>
    </row>
    <row r="99" spans="1:3" s="15" customFormat="1">
      <c r="A99" s="16" t="s">
        <v>97</v>
      </c>
      <c r="B99" s="14">
        <v>96</v>
      </c>
      <c r="C99" s="23">
        <f>Winneshiek!J20</f>
        <v>0</v>
      </c>
    </row>
    <row r="100" spans="1:3">
      <c r="A100" s="8" t="s">
        <v>98</v>
      </c>
      <c r="B100" s="6">
        <v>97</v>
      </c>
      <c r="C100" s="23">
        <f>Woodbury!J23</f>
        <v>32784.98000000004</v>
      </c>
    </row>
    <row r="101" spans="1:3">
      <c r="A101" s="8" t="s">
        <v>99</v>
      </c>
      <c r="B101" s="6">
        <v>98</v>
      </c>
      <c r="C101" s="23">
        <f>Worth!J22</f>
        <v>0</v>
      </c>
    </row>
    <row r="102" spans="1:3">
      <c r="A102" s="7" t="s">
        <v>100</v>
      </c>
      <c r="B102" s="6">
        <v>99</v>
      </c>
      <c r="C102" s="23">
        <f>Wright!J26</f>
        <v>17689.430000000051</v>
      </c>
    </row>
    <row r="103" spans="1:3" s="15" customFormat="1">
      <c r="C103" s="23">
        <f>SUM(C4:C102)</f>
        <v>413302.27000000031</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4" customWidth="1"/>
    <col min="6" max="6" width="13.28515625" style="434" customWidth="1"/>
    <col min="7" max="7" width="12" style="434" bestFit="1" customWidth="1"/>
    <col min="8" max="8" width="15.140625" style="434" customWidth="1"/>
    <col min="9" max="9" width="12" bestFit="1" customWidth="1"/>
    <col min="10" max="10" width="15.140625" customWidth="1"/>
  </cols>
  <sheetData>
    <row r="1" spans="1:10" ht="15.75" thickBot="1">
      <c r="A1" s="958" t="s">
        <v>122</v>
      </c>
      <c r="B1" s="959"/>
      <c r="C1" s="959"/>
      <c r="D1" s="959"/>
      <c r="E1" s="959"/>
      <c r="F1" s="959"/>
      <c r="G1" s="959"/>
      <c r="H1" s="959"/>
      <c r="I1" s="959"/>
      <c r="J1" s="960"/>
    </row>
    <row r="2" spans="1:10" s="434" customFormat="1">
      <c r="A2" s="965" t="s">
        <v>110</v>
      </c>
      <c r="B2" s="967" t="s">
        <v>111</v>
      </c>
      <c r="C2" s="967" t="s">
        <v>112</v>
      </c>
      <c r="D2" s="969" t="s">
        <v>247</v>
      </c>
      <c r="E2" s="963" t="s">
        <v>701</v>
      </c>
      <c r="F2" s="964"/>
      <c r="G2" s="971" t="s">
        <v>702</v>
      </c>
      <c r="H2" s="972"/>
      <c r="I2" s="961" t="s">
        <v>796</v>
      </c>
      <c r="J2" s="962"/>
    </row>
    <row r="3" spans="1:10" ht="46.5" thickBot="1">
      <c r="A3" s="966"/>
      <c r="B3" s="968"/>
      <c r="C3" s="968"/>
      <c r="D3" s="970"/>
      <c r="E3" s="462" t="s">
        <v>121</v>
      </c>
      <c r="F3" s="470" t="s">
        <v>704</v>
      </c>
      <c r="G3" s="462" t="s">
        <v>121</v>
      </c>
      <c r="H3" s="470" t="s">
        <v>704</v>
      </c>
      <c r="I3" s="480" t="s">
        <v>121</v>
      </c>
      <c r="J3" s="440" t="s">
        <v>704</v>
      </c>
    </row>
    <row r="4" spans="1:10">
      <c r="A4" s="70">
        <v>44306</v>
      </c>
      <c r="B4" s="71" t="s">
        <v>416</v>
      </c>
      <c r="C4" s="72">
        <v>544955.75</v>
      </c>
      <c r="D4" s="431">
        <f>C4</f>
        <v>544955.75</v>
      </c>
      <c r="E4" s="471">
        <v>544083.06999999995</v>
      </c>
      <c r="F4" s="472">
        <f>IF(ISBLANK(E4),"----",E4-D4)</f>
        <v>-872.68000000005122</v>
      </c>
      <c r="G4" s="463" t="s">
        <v>703</v>
      </c>
      <c r="H4" s="662" t="str">
        <f>IF(OR(G4="Complete",ISBLANK(G4)),"----",G4-$D4)</f>
        <v>----</v>
      </c>
      <c r="I4" s="660" t="s">
        <v>703</v>
      </c>
      <c r="J4" s="460" t="str">
        <f>IF(OR(I4="Complete",ISBLANK(I4)),"----",I4-$D4)</f>
        <v>----</v>
      </c>
    </row>
    <row r="5" spans="1:10">
      <c r="A5" s="88">
        <v>44880</v>
      </c>
      <c r="B5" s="101" t="s">
        <v>582</v>
      </c>
      <c r="C5" s="82">
        <v>1223831.8700000001</v>
      </c>
      <c r="D5" s="433">
        <f>C5</f>
        <v>1223831.8700000001</v>
      </c>
      <c r="E5" s="473"/>
      <c r="F5" s="474" t="str">
        <f t="shared" ref="F5:F22" si="0">IF(ISBLANK(E5),"----",E5-D5)</f>
        <v>----</v>
      </c>
      <c r="G5" s="464">
        <v>1248346.27</v>
      </c>
      <c r="H5" s="531">
        <f t="shared" ref="H5:H22" si="1">IF(OR(G5="Complete",ISBLANK(G5)),"----",G5-$D5)</f>
        <v>24514.399999999907</v>
      </c>
      <c r="I5" s="530" t="s">
        <v>703</v>
      </c>
      <c r="J5" s="458" t="str">
        <f t="shared" ref="J5:J22" si="2">IF(OR(I5="Complete",ISBLANK(I5)),"----",I5-$D5)</f>
        <v>----</v>
      </c>
    </row>
    <row r="6" spans="1:10">
      <c r="A6" s="102"/>
      <c r="B6" s="103"/>
      <c r="C6" s="87"/>
      <c r="D6" s="468"/>
      <c r="E6" s="475"/>
      <c r="F6" s="474" t="str">
        <f t="shared" si="0"/>
        <v>----</v>
      </c>
      <c r="G6" s="465"/>
      <c r="H6" s="531" t="str">
        <f t="shared" si="1"/>
        <v>----</v>
      </c>
      <c r="I6" s="497"/>
      <c r="J6" s="458" t="str">
        <f t="shared" si="2"/>
        <v>----</v>
      </c>
    </row>
    <row r="7" spans="1:10">
      <c r="A7" s="102"/>
      <c r="B7" s="103"/>
      <c r="C7" s="87"/>
      <c r="D7" s="468"/>
      <c r="E7" s="475"/>
      <c r="F7" s="474" t="str">
        <f t="shared" si="0"/>
        <v>----</v>
      </c>
      <c r="G7" s="465"/>
      <c r="H7" s="531" t="str">
        <f t="shared" si="1"/>
        <v>----</v>
      </c>
      <c r="I7" s="497"/>
      <c r="J7" s="458" t="str">
        <f t="shared" si="2"/>
        <v>----</v>
      </c>
    </row>
    <row r="8" spans="1:10">
      <c r="A8" s="102"/>
      <c r="B8" s="103"/>
      <c r="C8" s="87"/>
      <c r="D8" s="468"/>
      <c r="E8" s="475"/>
      <c r="F8" s="474" t="str">
        <f t="shared" si="0"/>
        <v>----</v>
      </c>
      <c r="G8" s="465"/>
      <c r="H8" s="531" t="str">
        <f t="shared" si="1"/>
        <v>----</v>
      </c>
      <c r="I8" s="497"/>
      <c r="J8" s="458" t="str">
        <f t="shared" si="2"/>
        <v>----</v>
      </c>
    </row>
    <row r="9" spans="1:10">
      <c r="A9" s="102"/>
      <c r="B9" s="103"/>
      <c r="C9" s="87"/>
      <c r="D9" s="468"/>
      <c r="E9" s="475"/>
      <c r="F9" s="474" t="str">
        <f t="shared" si="0"/>
        <v>----</v>
      </c>
      <c r="G9" s="465"/>
      <c r="H9" s="531" t="str">
        <f t="shared" si="1"/>
        <v>----</v>
      </c>
      <c r="I9" s="497"/>
      <c r="J9" s="458" t="str">
        <f t="shared" si="2"/>
        <v>----</v>
      </c>
    </row>
    <row r="10" spans="1:10">
      <c r="A10" s="102"/>
      <c r="B10" s="103"/>
      <c r="C10" s="87"/>
      <c r="D10" s="468"/>
      <c r="E10" s="475"/>
      <c r="F10" s="474" t="str">
        <f t="shared" si="0"/>
        <v>----</v>
      </c>
      <c r="G10" s="465"/>
      <c r="H10" s="531" t="str">
        <f t="shared" si="1"/>
        <v>----</v>
      </c>
      <c r="I10" s="497"/>
      <c r="J10" s="458" t="str">
        <f t="shared" si="2"/>
        <v>----</v>
      </c>
    </row>
    <row r="11" spans="1:10">
      <c r="A11" s="102"/>
      <c r="B11" s="103"/>
      <c r="C11" s="87"/>
      <c r="D11" s="468"/>
      <c r="E11" s="475"/>
      <c r="F11" s="474" t="str">
        <f t="shared" si="0"/>
        <v>----</v>
      </c>
      <c r="G11" s="465"/>
      <c r="H11" s="531" t="str">
        <f t="shared" si="1"/>
        <v>----</v>
      </c>
      <c r="I11" s="497"/>
      <c r="J11" s="458" t="str">
        <f t="shared" si="2"/>
        <v>----</v>
      </c>
    </row>
    <row r="12" spans="1:10">
      <c r="A12" s="102"/>
      <c r="B12" s="103"/>
      <c r="C12" s="87"/>
      <c r="D12" s="468"/>
      <c r="E12" s="475"/>
      <c r="F12" s="474" t="str">
        <f t="shared" si="0"/>
        <v>----</v>
      </c>
      <c r="G12" s="465"/>
      <c r="H12" s="531" t="str">
        <f t="shared" si="1"/>
        <v>----</v>
      </c>
      <c r="I12" s="497"/>
      <c r="J12" s="458" t="str">
        <f t="shared" si="2"/>
        <v>----</v>
      </c>
    </row>
    <row r="13" spans="1:10">
      <c r="A13" s="102"/>
      <c r="B13" s="103"/>
      <c r="C13" s="87"/>
      <c r="D13" s="468"/>
      <c r="E13" s="475"/>
      <c r="F13" s="474" t="str">
        <f t="shared" si="0"/>
        <v>----</v>
      </c>
      <c r="G13" s="465"/>
      <c r="H13" s="531" t="str">
        <f t="shared" si="1"/>
        <v>----</v>
      </c>
      <c r="I13" s="497"/>
      <c r="J13" s="458" t="str">
        <f t="shared" si="2"/>
        <v>----</v>
      </c>
    </row>
    <row r="14" spans="1:10">
      <c r="A14" s="102"/>
      <c r="B14" s="103"/>
      <c r="C14" s="87"/>
      <c r="D14" s="468"/>
      <c r="E14" s="475"/>
      <c r="F14" s="474" t="str">
        <f t="shared" si="0"/>
        <v>----</v>
      </c>
      <c r="G14" s="465"/>
      <c r="H14" s="531" t="str">
        <f t="shared" si="1"/>
        <v>----</v>
      </c>
      <c r="I14" s="497"/>
      <c r="J14" s="458" t="str">
        <f t="shared" si="2"/>
        <v>----</v>
      </c>
    </row>
    <row r="15" spans="1:10">
      <c r="A15" s="102"/>
      <c r="B15" s="103"/>
      <c r="C15" s="87"/>
      <c r="D15" s="468"/>
      <c r="E15" s="475"/>
      <c r="F15" s="474" t="str">
        <f t="shared" si="0"/>
        <v>----</v>
      </c>
      <c r="G15" s="465"/>
      <c r="H15" s="531" t="str">
        <f t="shared" si="1"/>
        <v>----</v>
      </c>
      <c r="I15" s="497"/>
      <c r="J15" s="458" t="str">
        <f t="shared" si="2"/>
        <v>----</v>
      </c>
    </row>
    <row r="16" spans="1:10">
      <c r="A16" s="102"/>
      <c r="B16" s="103"/>
      <c r="C16" s="87"/>
      <c r="D16" s="468"/>
      <c r="E16" s="475"/>
      <c r="F16" s="474" t="str">
        <f t="shared" si="0"/>
        <v>----</v>
      </c>
      <c r="G16" s="465"/>
      <c r="H16" s="531" t="str">
        <f t="shared" si="1"/>
        <v>----</v>
      </c>
      <c r="I16" s="497"/>
      <c r="J16" s="458" t="str">
        <f t="shared" si="2"/>
        <v>----</v>
      </c>
    </row>
    <row r="17" spans="1:11">
      <c r="A17" s="102"/>
      <c r="B17" s="103"/>
      <c r="C17" s="87"/>
      <c r="D17" s="468"/>
      <c r="E17" s="475"/>
      <c r="F17" s="474" t="str">
        <f t="shared" si="0"/>
        <v>----</v>
      </c>
      <c r="G17" s="465"/>
      <c r="H17" s="531" t="str">
        <f t="shared" si="1"/>
        <v>----</v>
      </c>
      <c r="I17" s="497"/>
      <c r="J17" s="458" t="str">
        <f t="shared" si="2"/>
        <v>----</v>
      </c>
    </row>
    <row r="18" spans="1:11">
      <c r="A18" s="102"/>
      <c r="B18" s="103"/>
      <c r="C18" s="87"/>
      <c r="D18" s="468"/>
      <c r="E18" s="475"/>
      <c r="F18" s="474" t="str">
        <f t="shared" si="0"/>
        <v>----</v>
      </c>
      <c r="G18" s="465"/>
      <c r="H18" s="531" t="str">
        <f t="shared" si="1"/>
        <v>----</v>
      </c>
      <c r="I18" s="497"/>
      <c r="J18" s="458" t="str">
        <f t="shared" si="2"/>
        <v>----</v>
      </c>
    </row>
    <row r="19" spans="1:11">
      <c r="A19" s="102"/>
      <c r="B19" s="103"/>
      <c r="C19" s="87"/>
      <c r="D19" s="468"/>
      <c r="E19" s="475"/>
      <c r="F19" s="474" t="str">
        <f t="shared" si="0"/>
        <v>----</v>
      </c>
      <c r="G19" s="465"/>
      <c r="H19" s="531" t="str">
        <f t="shared" si="1"/>
        <v>----</v>
      </c>
      <c r="I19" s="497"/>
      <c r="J19" s="458" t="str">
        <f t="shared" si="2"/>
        <v>----</v>
      </c>
    </row>
    <row r="20" spans="1:11">
      <c r="A20" s="102"/>
      <c r="B20" s="103"/>
      <c r="C20" s="87"/>
      <c r="D20" s="468"/>
      <c r="E20" s="475"/>
      <c r="F20" s="474" t="str">
        <f t="shared" si="0"/>
        <v>----</v>
      </c>
      <c r="G20" s="465"/>
      <c r="H20" s="531" t="str">
        <f t="shared" si="1"/>
        <v>----</v>
      </c>
      <c r="I20" s="497"/>
      <c r="J20" s="458" t="str">
        <f t="shared" si="2"/>
        <v>----</v>
      </c>
    </row>
    <row r="21" spans="1:11">
      <c r="A21" s="116"/>
      <c r="B21" s="117"/>
      <c r="C21" s="118"/>
      <c r="D21" s="469"/>
      <c r="E21" s="476"/>
      <c r="F21" s="474" t="str">
        <f t="shared" si="0"/>
        <v>----</v>
      </c>
      <c r="G21" s="466"/>
      <c r="H21" s="531" t="str">
        <f t="shared" si="1"/>
        <v>----</v>
      </c>
      <c r="I21" s="498"/>
      <c r="J21" s="458" t="str">
        <f t="shared" si="2"/>
        <v>----</v>
      </c>
    </row>
    <row r="22" spans="1:11" ht="15.75" thickBot="1">
      <c r="A22" s="74"/>
      <c r="B22" s="75"/>
      <c r="C22" s="76"/>
      <c r="D22" s="432"/>
      <c r="E22" s="477"/>
      <c r="F22" s="478" t="str">
        <f t="shared" si="0"/>
        <v>----</v>
      </c>
      <c r="G22" s="467"/>
      <c r="H22" s="663" t="str">
        <f t="shared" si="1"/>
        <v>----</v>
      </c>
      <c r="I22" s="661"/>
      <c r="J22" s="461" t="str">
        <f t="shared" si="2"/>
        <v>----</v>
      </c>
    </row>
    <row r="23" spans="1:11" ht="15.75" thickBot="1">
      <c r="A23" s="27"/>
      <c r="B23" s="27"/>
      <c r="C23" s="28"/>
      <c r="D23" s="28"/>
      <c r="E23" s="441"/>
      <c r="F23" s="443">
        <f>SUM(F4:F22)</f>
        <v>-872.68000000005122</v>
      </c>
      <c r="G23" s="441"/>
      <c r="H23" s="443">
        <f>SUM(H4:H22)</f>
        <v>24514.399999999907</v>
      </c>
      <c r="I23" s="28"/>
      <c r="J23" s="69">
        <f>SUM(J4:J22)</f>
        <v>0</v>
      </c>
    </row>
    <row r="24" spans="1:11">
      <c r="A24" s="17"/>
      <c r="B24" s="17"/>
      <c r="C24" s="18"/>
      <c r="D24" s="18"/>
      <c r="E24" s="435"/>
      <c r="F24" s="435"/>
      <c r="G24" s="435"/>
      <c r="H24" s="435"/>
      <c r="I24" s="18"/>
      <c r="J24" s="18"/>
      <c r="K24" s="17"/>
    </row>
    <row r="25" spans="1:11">
      <c r="A25" s="17"/>
      <c r="B25" s="17"/>
      <c r="C25" s="18"/>
      <c r="D25" s="18"/>
      <c r="E25" s="435"/>
      <c r="F25" s="435"/>
      <c r="G25" s="435"/>
      <c r="H25" s="435"/>
      <c r="I25" s="18"/>
      <c r="J25" s="18"/>
      <c r="K25" s="17"/>
    </row>
    <row r="26" spans="1:11">
      <c r="A26" s="17"/>
      <c r="B26" s="17"/>
      <c r="C26" s="18"/>
      <c r="D26" s="18"/>
      <c r="E26" s="435"/>
      <c r="F26" s="435"/>
      <c r="G26" s="435"/>
      <c r="H26" s="435"/>
      <c r="I26" s="18"/>
      <c r="J26" s="18"/>
      <c r="K26" s="17"/>
    </row>
    <row r="27" spans="1:11">
      <c r="A27" s="17"/>
      <c r="B27" s="17"/>
      <c r="C27" s="18"/>
      <c r="D27" s="18"/>
      <c r="E27" s="435"/>
      <c r="F27" s="435"/>
      <c r="G27" s="435"/>
      <c r="H27" s="435"/>
      <c r="I27" s="18"/>
      <c r="J27" s="18"/>
      <c r="K27" s="17"/>
    </row>
    <row r="28" spans="1:11">
      <c r="A28" s="17"/>
      <c r="B28" s="17"/>
      <c r="C28" s="18"/>
      <c r="D28" s="18"/>
      <c r="E28" s="435"/>
      <c r="F28" s="435"/>
      <c r="G28" s="435"/>
      <c r="H28" s="435"/>
      <c r="I28" s="18"/>
      <c r="J28" s="18"/>
      <c r="K28" s="17"/>
    </row>
    <row r="29" spans="1:11">
      <c r="A29" s="17"/>
      <c r="B29" s="17"/>
      <c r="C29" s="18"/>
      <c r="D29" s="18"/>
      <c r="E29" s="435"/>
      <c r="F29" s="435"/>
      <c r="G29" s="435"/>
      <c r="H29" s="435"/>
      <c r="I29" s="18"/>
      <c r="J29" s="18"/>
      <c r="K29" s="17"/>
    </row>
    <row r="30" spans="1:11">
      <c r="A30" s="17"/>
      <c r="B30" s="17"/>
      <c r="C30" s="18"/>
      <c r="D30" s="18"/>
      <c r="E30" s="435"/>
      <c r="F30" s="435"/>
      <c r="G30" s="435"/>
      <c r="H30" s="435"/>
      <c r="I30" s="18"/>
      <c r="J30" s="18"/>
      <c r="K30" s="17"/>
    </row>
    <row r="31" spans="1:11">
      <c r="A31" s="17"/>
      <c r="B31" s="17"/>
      <c r="C31" s="18"/>
      <c r="D31" s="18"/>
      <c r="E31" s="435"/>
      <c r="F31" s="435"/>
      <c r="G31" s="435"/>
      <c r="H31" s="435"/>
      <c r="I31" s="18"/>
      <c r="J31" s="18"/>
      <c r="K31" s="17"/>
    </row>
    <row r="32" spans="1:11">
      <c r="A32" s="17"/>
      <c r="B32" s="17"/>
      <c r="C32" s="18"/>
      <c r="D32" s="18"/>
      <c r="E32" s="435"/>
      <c r="F32" s="435"/>
      <c r="G32" s="435"/>
      <c r="H32" s="435"/>
      <c r="I32" s="18"/>
      <c r="J32" s="18"/>
      <c r="K32" s="17"/>
    </row>
    <row r="33" spans="1:11">
      <c r="A33" s="17"/>
      <c r="B33" s="17"/>
      <c r="C33" s="18"/>
      <c r="D33" s="18"/>
      <c r="E33" s="435"/>
      <c r="F33" s="435"/>
      <c r="G33" s="435"/>
      <c r="H33" s="435"/>
      <c r="I33" s="18"/>
      <c r="J33" s="18"/>
      <c r="K33" s="17"/>
    </row>
    <row r="34" spans="1:11">
      <c r="A34" s="17"/>
      <c r="B34" s="17"/>
      <c r="C34" s="18"/>
      <c r="D34" s="18"/>
      <c r="E34" s="435"/>
      <c r="F34" s="435"/>
      <c r="G34" s="435"/>
      <c r="H34" s="435"/>
      <c r="I34" s="18"/>
      <c r="J34" s="18"/>
      <c r="K34" s="17"/>
    </row>
    <row r="35" spans="1:11">
      <c r="A35" s="17"/>
      <c r="B35" s="17"/>
      <c r="C35" s="18"/>
      <c r="D35" s="18"/>
      <c r="E35" s="435"/>
      <c r="F35" s="435"/>
      <c r="G35" s="435"/>
      <c r="H35" s="435"/>
      <c r="I35" s="18"/>
      <c r="J35" s="18"/>
      <c r="K35" s="17"/>
    </row>
    <row r="36" spans="1:11">
      <c r="A36" s="17"/>
      <c r="B36" s="17"/>
      <c r="C36" s="18"/>
      <c r="D36" s="18"/>
      <c r="E36" s="435"/>
      <c r="F36" s="435"/>
      <c r="G36" s="435"/>
      <c r="H36" s="435"/>
      <c r="I36" s="18"/>
      <c r="J36" s="18"/>
      <c r="K36" s="17"/>
    </row>
    <row r="37" spans="1:11">
      <c r="A37" s="17"/>
      <c r="B37" s="17"/>
      <c r="C37" s="18"/>
      <c r="D37" s="18"/>
      <c r="E37" s="435"/>
      <c r="F37" s="435"/>
      <c r="G37" s="435"/>
      <c r="H37" s="435"/>
      <c r="I37" s="18"/>
      <c r="J37" s="18"/>
      <c r="K37" s="17"/>
    </row>
    <row r="38" spans="1:11">
      <c r="C38" s="19"/>
      <c r="D38" s="19"/>
      <c r="E38" s="436"/>
      <c r="F38" s="436"/>
      <c r="G38" s="436"/>
      <c r="H38" s="436"/>
      <c r="I38" s="19"/>
      <c r="J38" s="19"/>
    </row>
    <row r="39" spans="1:11">
      <c r="C39" s="19"/>
      <c r="D39" s="19"/>
      <c r="E39" s="436"/>
      <c r="F39" s="436"/>
      <c r="G39" s="436"/>
      <c r="H39" s="436"/>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4" bestFit="1" customWidth="1"/>
    <col min="6" max="6" width="11.7109375" style="434" customWidth="1"/>
    <col min="7" max="7" width="10.7109375" style="434" bestFit="1" customWidth="1"/>
    <col min="8" max="8" width="11.7109375" style="434" customWidth="1"/>
    <col min="9" max="9" width="10.7109375" bestFit="1" customWidth="1"/>
    <col min="10" max="10" width="11.7109375" customWidth="1"/>
  </cols>
  <sheetData>
    <row r="1" spans="1:10" ht="14.25" customHeight="1" thickBot="1">
      <c r="A1" s="958" t="s">
        <v>123</v>
      </c>
      <c r="B1" s="959"/>
      <c r="C1" s="959"/>
      <c r="D1" s="959"/>
      <c r="E1" s="959"/>
      <c r="F1" s="959"/>
      <c r="G1" s="959"/>
      <c r="H1" s="959"/>
      <c r="I1" s="959"/>
      <c r="J1" s="960"/>
    </row>
    <row r="2" spans="1:10" s="434" customFormat="1" ht="14.25" customHeigh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ht="15.75" customHeight="1">
      <c r="A4" s="444">
        <v>44180</v>
      </c>
      <c r="B4" s="445" t="s">
        <v>357</v>
      </c>
      <c r="C4" s="72">
        <v>774105.11</v>
      </c>
      <c r="D4" s="431">
        <f>C4</f>
        <v>774105.11</v>
      </c>
      <c r="E4" s="471"/>
      <c r="F4" s="472" t="str">
        <f>IF(ISBLANK(E4),"----",E4-$D4)</f>
        <v>----</v>
      </c>
      <c r="G4" s="471"/>
      <c r="H4" s="472" t="str">
        <f>IF(OR(G4="Complete",ISBLANK(G4)),"----",G4-$D4)</f>
        <v>----</v>
      </c>
      <c r="I4" s="481"/>
      <c r="J4" s="73" t="str">
        <f>IF(OR(I4="Complete",ISBLANK(I4)),"----",I4-$D4)</f>
        <v>----</v>
      </c>
    </row>
    <row r="5" spans="1:10" s="434" customFormat="1" ht="15.75" customHeight="1">
      <c r="A5" s="449"/>
      <c r="B5" s="450"/>
      <c r="C5" s="446"/>
      <c r="D5" s="433"/>
      <c r="E5" s="473"/>
      <c r="F5" s="474" t="str">
        <f t="shared" ref="F5:F19" si="0">IF(ISBLANK(E5),"----",E5-$D5)</f>
        <v>----</v>
      </c>
      <c r="G5" s="473"/>
      <c r="H5" s="474" t="str">
        <f t="shared" ref="H5:H19" si="1">IF(OR(G5="Complete",ISBLANK(G5)),"----",G5-$D5)</f>
        <v>----</v>
      </c>
      <c r="I5" s="486"/>
      <c r="J5" s="447" t="str">
        <f t="shared" ref="J5:J19" si="2">IF(OR(I5="Complete",ISBLANK(I5)),"----",I5-$D5)</f>
        <v>----</v>
      </c>
    </row>
    <row r="6" spans="1:10" s="434" customFormat="1">
      <c r="A6" s="451"/>
      <c r="B6" s="452"/>
      <c r="C6" s="448"/>
      <c r="D6" s="468"/>
      <c r="E6" s="475"/>
      <c r="F6" s="487" t="str">
        <f t="shared" si="0"/>
        <v>----</v>
      </c>
      <c r="G6" s="475"/>
      <c r="H6" s="487" t="str">
        <f t="shared" si="1"/>
        <v>----</v>
      </c>
      <c r="I6" s="488"/>
      <c r="J6" s="453" t="str">
        <f t="shared" si="2"/>
        <v>----</v>
      </c>
    </row>
    <row r="7" spans="1:10" s="434" customFormat="1">
      <c r="A7" s="451"/>
      <c r="B7" s="452"/>
      <c r="C7" s="448"/>
      <c r="D7" s="468"/>
      <c r="E7" s="475"/>
      <c r="F7" s="487" t="str">
        <f t="shared" si="0"/>
        <v>----</v>
      </c>
      <c r="G7" s="475"/>
      <c r="H7" s="487" t="str">
        <f t="shared" si="1"/>
        <v>----</v>
      </c>
      <c r="I7" s="488"/>
      <c r="J7" s="453" t="str">
        <f t="shared" si="2"/>
        <v>----</v>
      </c>
    </row>
    <row r="8" spans="1:10" s="434" customFormat="1">
      <c r="A8" s="451"/>
      <c r="B8" s="452"/>
      <c r="C8" s="448"/>
      <c r="D8" s="468"/>
      <c r="E8" s="475"/>
      <c r="F8" s="487" t="str">
        <f t="shared" si="0"/>
        <v>----</v>
      </c>
      <c r="G8" s="475"/>
      <c r="H8" s="487" t="str">
        <f t="shared" si="1"/>
        <v>----</v>
      </c>
      <c r="I8" s="488"/>
      <c r="J8" s="453" t="str">
        <f t="shared" si="2"/>
        <v>----</v>
      </c>
    </row>
    <row r="9" spans="1:10" s="434" customFormat="1">
      <c r="A9" s="451"/>
      <c r="B9" s="452"/>
      <c r="C9" s="448"/>
      <c r="D9" s="468"/>
      <c r="E9" s="475"/>
      <c r="F9" s="487" t="str">
        <f t="shared" si="0"/>
        <v>----</v>
      </c>
      <c r="G9" s="475"/>
      <c r="H9" s="487" t="str">
        <f t="shared" si="1"/>
        <v>----</v>
      </c>
      <c r="I9" s="488"/>
      <c r="J9" s="453" t="str">
        <f t="shared" si="2"/>
        <v>----</v>
      </c>
    </row>
    <row r="10" spans="1:10" s="434" customFormat="1">
      <c r="A10" s="451"/>
      <c r="B10" s="452"/>
      <c r="C10" s="448"/>
      <c r="D10" s="468"/>
      <c r="E10" s="475"/>
      <c r="F10" s="487" t="str">
        <f t="shared" si="0"/>
        <v>----</v>
      </c>
      <c r="G10" s="475"/>
      <c r="H10" s="487" t="str">
        <f t="shared" si="1"/>
        <v>----</v>
      </c>
      <c r="I10" s="488"/>
      <c r="J10" s="453" t="str">
        <f t="shared" si="2"/>
        <v>----</v>
      </c>
    </row>
    <row r="11" spans="1:10" s="434" customFormat="1">
      <c r="A11" s="451"/>
      <c r="B11" s="452"/>
      <c r="C11" s="448"/>
      <c r="D11" s="468"/>
      <c r="E11" s="475"/>
      <c r="F11" s="487" t="str">
        <f t="shared" si="0"/>
        <v>----</v>
      </c>
      <c r="G11" s="475"/>
      <c r="H11" s="487" t="str">
        <f t="shared" si="1"/>
        <v>----</v>
      </c>
      <c r="I11" s="488"/>
      <c r="J11" s="453" t="str">
        <f t="shared" si="2"/>
        <v>----</v>
      </c>
    </row>
    <row r="12" spans="1:10" s="434" customFormat="1">
      <c r="A12" s="451"/>
      <c r="B12" s="452"/>
      <c r="C12" s="448"/>
      <c r="D12" s="468"/>
      <c r="E12" s="475"/>
      <c r="F12" s="487" t="str">
        <f t="shared" si="0"/>
        <v>----</v>
      </c>
      <c r="G12" s="475"/>
      <c r="H12" s="487" t="str">
        <f t="shared" si="1"/>
        <v>----</v>
      </c>
      <c r="I12" s="488"/>
      <c r="J12" s="453" t="str">
        <f t="shared" si="2"/>
        <v>----</v>
      </c>
    </row>
    <row r="13" spans="1:10" s="434" customFormat="1">
      <c r="A13" s="451"/>
      <c r="B13" s="452"/>
      <c r="C13" s="448"/>
      <c r="D13" s="468"/>
      <c r="E13" s="475"/>
      <c r="F13" s="487" t="str">
        <f t="shared" si="0"/>
        <v>----</v>
      </c>
      <c r="G13" s="475"/>
      <c r="H13" s="487" t="str">
        <f t="shared" si="1"/>
        <v>----</v>
      </c>
      <c r="I13" s="488"/>
      <c r="J13" s="453" t="str">
        <f t="shared" si="2"/>
        <v>----</v>
      </c>
    </row>
    <row r="14" spans="1:10" s="434" customFormat="1">
      <c r="A14" s="451"/>
      <c r="B14" s="452"/>
      <c r="C14" s="448"/>
      <c r="D14" s="468"/>
      <c r="E14" s="475"/>
      <c r="F14" s="487" t="str">
        <f t="shared" si="0"/>
        <v>----</v>
      </c>
      <c r="G14" s="475"/>
      <c r="H14" s="487" t="str">
        <f t="shared" si="1"/>
        <v>----</v>
      </c>
      <c r="I14" s="488"/>
      <c r="J14" s="453" t="str">
        <f t="shared" si="2"/>
        <v>----</v>
      </c>
    </row>
    <row r="15" spans="1:10" s="434" customFormat="1">
      <c r="A15" s="451"/>
      <c r="B15" s="452"/>
      <c r="C15" s="448"/>
      <c r="D15" s="468"/>
      <c r="E15" s="475"/>
      <c r="F15" s="487" t="str">
        <f t="shared" si="0"/>
        <v>----</v>
      </c>
      <c r="G15" s="475"/>
      <c r="H15" s="487" t="str">
        <f t="shared" si="1"/>
        <v>----</v>
      </c>
      <c r="I15" s="488"/>
      <c r="J15" s="453" t="str">
        <f t="shared" si="2"/>
        <v>----</v>
      </c>
    </row>
    <row r="16" spans="1:10" s="434" customFormat="1">
      <c r="A16" s="451"/>
      <c r="B16" s="452"/>
      <c r="C16" s="448"/>
      <c r="D16" s="468"/>
      <c r="E16" s="475"/>
      <c r="F16" s="487" t="str">
        <f t="shared" si="0"/>
        <v>----</v>
      </c>
      <c r="G16" s="475"/>
      <c r="H16" s="487" t="str">
        <f t="shared" si="1"/>
        <v>----</v>
      </c>
      <c r="I16" s="488"/>
      <c r="J16" s="453" t="str">
        <f t="shared" si="2"/>
        <v>----</v>
      </c>
    </row>
    <row r="17" spans="1:11" s="434" customFormat="1">
      <c r="A17" s="451"/>
      <c r="B17" s="452"/>
      <c r="C17" s="448"/>
      <c r="D17" s="468"/>
      <c r="E17" s="475"/>
      <c r="F17" s="487" t="str">
        <f t="shared" si="0"/>
        <v>----</v>
      </c>
      <c r="G17" s="475"/>
      <c r="H17" s="487" t="str">
        <f t="shared" si="1"/>
        <v>----</v>
      </c>
      <c r="I17" s="488"/>
      <c r="J17" s="453" t="str">
        <f t="shared" si="2"/>
        <v>----</v>
      </c>
    </row>
    <row r="18" spans="1:11">
      <c r="A18" s="454"/>
      <c r="B18" s="455"/>
      <c r="C18" s="456"/>
      <c r="D18" s="469"/>
      <c r="E18" s="476"/>
      <c r="F18" s="489" t="str">
        <f t="shared" si="0"/>
        <v>----</v>
      </c>
      <c r="G18" s="476"/>
      <c r="H18" s="489" t="str">
        <f t="shared" si="1"/>
        <v>----</v>
      </c>
      <c r="I18" s="490"/>
      <c r="J18" s="457" t="str">
        <f t="shared" si="2"/>
        <v>----</v>
      </c>
    </row>
    <row r="19" spans="1:11" ht="15.75" thickBot="1">
      <c r="A19" s="74"/>
      <c r="B19" s="75"/>
      <c r="C19" s="76"/>
      <c r="D19" s="432"/>
      <c r="E19" s="477"/>
      <c r="F19" s="478" t="str">
        <f t="shared" si="0"/>
        <v>----</v>
      </c>
      <c r="G19" s="477"/>
      <c r="H19" s="478" t="str">
        <f t="shared" si="1"/>
        <v>----</v>
      </c>
      <c r="I19" s="483"/>
      <c r="J19" s="77" t="str">
        <f t="shared" si="2"/>
        <v>----</v>
      </c>
    </row>
    <row r="20" spans="1:11" ht="15.75" thickBot="1">
      <c r="A20" s="27"/>
      <c r="B20" s="27"/>
      <c r="C20" s="28"/>
      <c r="D20" s="28"/>
      <c r="E20" s="441"/>
      <c r="F20" s="443">
        <f>SUM(F4:F19)</f>
        <v>0</v>
      </c>
      <c r="G20" s="441"/>
      <c r="H20" s="443">
        <f>SUM(H4:H19)</f>
        <v>0</v>
      </c>
      <c r="I20" s="28"/>
      <c r="J20" s="69">
        <f>SUM(J4:J19)</f>
        <v>0</v>
      </c>
      <c r="K20" s="17"/>
    </row>
    <row r="21" spans="1:11">
      <c r="A21" s="17"/>
      <c r="B21" s="17"/>
      <c r="C21" s="20"/>
      <c r="D21" s="20"/>
      <c r="E21" s="437"/>
      <c r="F21" s="437"/>
      <c r="G21" s="437"/>
      <c r="H21" s="437"/>
      <c r="I21" s="20"/>
      <c r="J21" s="20"/>
      <c r="K21" s="17"/>
    </row>
    <row r="22" spans="1:11">
      <c r="A22" s="17"/>
      <c r="B22" s="17"/>
      <c r="C22" s="20"/>
      <c r="D22" s="20"/>
      <c r="E22" s="437"/>
      <c r="F22" s="437"/>
      <c r="G22" s="437"/>
      <c r="H22" s="437"/>
      <c r="I22" s="20"/>
      <c r="J22" s="20"/>
      <c r="K22" s="17"/>
    </row>
    <row r="23" spans="1:11">
      <c r="A23" s="17"/>
      <c r="B23" s="17"/>
      <c r="C23" s="20"/>
      <c r="D23" s="20"/>
      <c r="E23" s="437"/>
      <c r="F23" s="437"/>
      <c r="G23" s="437"/>
      <c r="H23" s="437"/>
      <c r="I23" s="20"/>
      <c r="J23" s="20"/>
      <c r="K23" s="17"/>
    </row>
    <row r="24" spans="1:11">
      <c r="A24" s="17"/>
      <c r="B24" s="17"/>
      <c r="C24" s="20"/>
      <c r="D24" s="20"/>
      <c r="E24" s="437"/>
      <c r="F24" s="437"/>
      <c r="G24" s="437"/>
      <c r="H24" s="437"/>
      <c r="I24" s="20"/>
      <c r="J24" s="20"/>
      <c r="K24" s="17"/>
    </row>
    <row r="25" spans="1:11">
      <c r="A25" s="17"/>
      <c r="B25" s="17"/>
      <c r="C25" s="20"/>
      <c r="D25" s="20"/>
      <c r="E25" s="437"/>
      <c r="F25" s="437"/>
      <c r="G25" s="437"/>
      <c r="H25" s="437"/>
      <c r="I25" s="20"/>
      <c r="J25" s="20"/>
      <c r="K25" s="17"/>
    </row>
    <row r="26" spans="1:11">
      <c r="A26" s="17"/>
      <c r="B26" s="17"/>
      <c r="C26" s="20"/>
      <c r="D26" s="20"/>
      <c r="E26" s="437"/>
      <c r="F26" s="437"/>
      <c r="G26" s="437"/>
      <c r="H26" s="437"/>
      <c r="I26" s="20"/>
      <c r="J26" s="20"/>
      <c r="K26" s="17"/>
    </row>
    <row r="27" spans="1:11">
      <c r="A27" s="17"/>
      <c r="B27" s="17"/>
      <c r="C27" s="20"/>
      <c r="D27" s="20"/>
      <c r="E27" s="437"/>
      <c r="F27" s="437"/>
      <c r="G27" s="437"/>
      <c r="H27" s="437"/>
      <c r="I27" s="20"/>
      <c r="J27" s="20"/>
      <c r="K27" s="17"/>
    </row>
    <row r="28" spans="1:11">
      <c r="A28" s="17"/>
      <c r="B28" s="17"/>
      <c r="C28" s="20"/>
      <c r="D28" s="20"/>
      <c r="E28" s="437"/>
      <c r="F28" s="437"/>
      <c r="G28" s="437"/>
      <c r="H28" s="437"/>
      <c r="I28" s="20"/>
      <c r="J28" s="20"/>
      <c r="K28" s="17"/>
    </row>
    <row r="29" spans="1:11">
      <c r="A29" s="17"/>
      <c r="B29" s="17"/>
      <c r="C29" s="20"/>
      <c r="D29" s="20"/>
      <c r="E29" s="437"/>
      <c r="F29" s="437"/>
      <c r="G29" s="437"/>
      <c r="H29" s="437"/>
      <c r="I29" s="20"/>
      <c r="J29" s="20"/>
      <c r="K29" s="17"/>
    </row>
    <row r="30" spans="1:11">
      <c r="A30" s="17"/>
      <c r="B30" s="17"/>
      <c r="C30" s="20"/>
      <c r="D30" s="20"/>
      <c r="E30" s="437"/>
      <c r="F30" s="437"/>
      <c r="G30" s="437"/>
      <c r="H30" s="437"/>
      <c r="I30" s="20"/>
      <c r="J30" s="20"/>
      <c r="K30" s="17"/>
    </row>
    <row r="31" spans="1:11">
      <c r="A31" s="17"/>
      <c r="B31" s="17"/>
      <c r="C31" s="20"/>
      <c r="D31" s="20"/>
      <c r="E31" s="437"/>
      <c r="F31" s="437"/>
      <c r="G31" s="437"/>
      <c r="H31" s="437"/>
      <c r="I31" s="20"/>
      <c r="J31" s="20"/>
      <c r="K31" s="17"/>
    </row>
    <row r="32" spans="1:11">
      <c r="A32" s="17"/>
      <c r="B32" s="17"/>
      <c r="C32" s="20"/>
      <c r="D32" s="20"/>
      <c r="E32" s="437"/>
      <c r="F32" s="437"/>
      <c r="G32" s="437"/>
      <c r="H32" s="437"/>
      <c r="I32" s="20"/>
      <c r="J32" s="20"/>
      <c r="K32" s="17"/>
    </row>
    <row r="33" spans="1:11">
      <c r="A33" s="17"/>
      <c r="B33" s="17"/>
      <c r="C33" s="20"/>
      <c r="D33" s="20"/>
      <c r="E33" s="437"/>
      <c r="F33" s="437"/>
      <c r="G33" s="437"/>
      <c r="H33" s="437"/>
      <c r="I33" s="20"/>
      <c r="J33" s="20"/>
      <c r="K33" s="17"/>
    </row>
    <row r="34" spans="1:11">
      <c r="A34" s="17"/>
      <c r="B34" s="17"/>
      <c r="C34" s="20"/>
      <c r="D34" s="20"/>
      <c r="E34" s="437"/>
      <c r="F34" s="437"/>
      <c r="G34" s="437"/>
      <c r="H34" s="437"/>
      <c r="I34" s="20"/>
      <c r="J34" s="20"/>
      <c r="K34" s="17"/>
    </row>
    <row r="35" spans="1:11">
      <c r="A35" s="17"/>
      <c r="B35" s="17"/>
      <c r="C35" s="20"/>
      <c r="D35" s="20"/>
      <c r="E35" s="437"/>
      <c r="F35" s="437"/>
      <c r="G35" s="437"/>
      <c r="H35" s="437"/>
      <c r="I35" s="20"/>
      <c r="J35" s="20"/>
      <c r="K35" s="17"/>
    </row>
    <row r="36" spans="1:11">
      <c r="C36" s="21"/>
      <c r="D36" s="21"/>
      <c r="E36" s="438"/>
      <c r="F36" s="438"/>
      <c r="G36" s="438"/>
      <c r="H36" s="438"/>
      <c r="I36" s="21"/>
      <c r="J36" s="21"/>
    </row>
    <row r="37" spans="1:11">
      <c r="C37" s="21"/>
      <c r="D37" s="21"/>
      <c r="E37" s="438"/>
      <c r="F37" s="438"/>
      <c r="G37" s="438"/>
      <c r="H37" s="438"/>
      <c r="I37" s="21"/>
      <c r="J37" s="21"/>
    </row>
    <row r="38" spans="1:11">
      <c r="C38" s="22"/>
      <c r="D38" s="22"/>
      <c r="E38" s="439"/>
      <c r="F38" s="439"/>
      <c r="G38" s="439"/>
      <c r="H38" s="439"/>
      <c r="I38" s="22"/>
      <c r="J38" s="22"/>
    </row>
    <row r="39" spans="1:11">
      <c r="C39" s="22"/>
      <c r="D39" s="22"/>
      <c r="E39" s="439"/>
      <c r="F39" s="439"/>
      <c r="G39" s="439"/>
      <c r="H39" s="439"/>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4" customWidth="1"/>
    <col min="6" max="6" width="11.7109375" style="434" customWidth="1"/>
    <col min="7" max="7" width="14.5703125" style="434" customWidth="1"/>
    <col min="8" max="8" width="11.7109375" style="434" customWidth="1"/>
    <col min="9" max="9" width="14.5703125" customWidth="1"/>
    <col min="10" max="10" width="11.7109375" customWidth="1"/>
  </cols>
  <sheetData>
    <row r="1" spans="1:11" ht="14.25" customHeight="1" thickBot="1">
      <c r="A1" s="958" t="s">
        <v>124</v>
      </c>
      <c r="B1" s="959"/>
      <c r="C1" s="959"/>
      <c r="D1" s="959"/>
      <c r="E1" s="959"/>
      <c r="F1" s="959"/>
      <c r="G1" s="959"/>
      <c r="H1" s="959"/>
      <c r="I1" s="959"/>
      <c r="J1" s="960"/>
    </row>
    <row r="2" spans="1:11" s="434" customFormat="1" ht="14.25" customHeigh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113</v>
      </c>
      <c r="G3" s="462" t="s">
        <v>121</v>
      </c>
      <c r="H3" s="470" t="s">
        <v>113</v>
      </c>
      <c r="I3" s="480" t="s">
        <v>121</v>
      </c>
      <c r="J3" s="25" t="s">
        <v>113</v>
      </c>
    </row>
    <row r="4" spans="1:11">
      <c r="A4" s="70">
        <v>44180</v>
      </c>
      <c r="B4" s="71" t="s">
        <v>358</v>
      </c>
      <c r="C4" s="72">
        <v>1449876.73</v>
      </c>
      <c r="D4" s="431">
        <f>C4</f>
        <v>1449876.73</v>
      </c>
      <c r="E4" s="471">
        <v>1415481.86</v>
      </c>
      <c r="F4" s="472">
        <f>IF(ISBLANK(E4),"----",E4-$D4)</f>
        <v>-34394.869999999879</v>
      </c>
      <c r="G4" s="471" t="s">
        <v>703</v>
      </c>
      <c r="H4" s="472" t="str">
        <f t="shared" ref="H4:H17" si="0">IF(OR(G4="Complete",ISBLANK(G4)),"----",G4-$D4)</f>
        <v>----</v>
      </c>
      <c r="I4" s="481" t="s">
        <v>703</v>
      </c>
      <c r="J4" s="73" t="str">
        <f t="shared" ref="J4:J17" si="1">IF(OR(I4="Complete",ISBLANK(I4)),"----",I4-$D4)</f>
        <v>----</v>
      </c>
    </row>
    <row r="5" spans="1:11">
      <c r="A5" s="194">
        <v>44216</v>
      </c>
      <c r="B5" s="195" t="s">
        <v>367</v>
      </c>
      <c r="C5" s="196">
        <v>799366.85</v>
      </c>
      <c r="D5" s="491">
        <f>C5</f>
        <v>799366.85</v>
      </c>
      <c r="E5" s="493"/>
      <c r="F5" s="494" t="str">
        <f t="shared" ref="F5:F17" si="2">IF(ISBLANK(E5),"----",E5-$D5)</f>
        <v>----</v>
      </c>
      <c r="G5" s="493"/>
      <c r="H5" s="494" t="str">
        <f t="shared" si="0"/>
        <v>----</v>
      </c>
      <c r="I5" s="492"/>
      <c r="J5" s="197" t="str">
        <f t="shared" si="1"/>
        <v>----</v>
      </c>
      <c r="K5" t="s">
        <v>387</v>
      </c>
    </row>
    <row r="6" spans="1:11">
      <c r="A6" s="102">
        <v>44216</v>
      </c>
      <c r="B6" s="103" t="s">
        <v>368</v>
      </c>
      <c r="C6" s="87">
        <v>700452.45</v>
      </c>
      <c r="D6" s="468">
        <v>326996.01</v>
      </c>
      <c r="E6" s="475">
        <v>316950.78999999998</v>
      </c>
      <c r="F6" s="489">
        <f t="shared" si="2"/>
        <v>-10045.22000000003</v>
      </c>
      <c r="G6" s="475" t="s">
        <v>703</v>
      </c>
      <c r="H6" s="489" t="str">
        <f t="shared" si="0"/>
        <v>----</v>
      </c>
      <c r="I6" s="488" t="s">
        <v>703</v>
      </c>
      <c r="J6" s="119" t="str">
        <f t="shared" si="1"/>
        <v>----</v>
      </c>
    </row>
    <row r="7" spans="1:11">
      <c r="A7" s="102">
        <v>44334</v>
      </c>
      <c r="B7" s="103" t="s">
        <v>367</v>
      </c>
      <c r="C7" s="87">
        <v>808094.85</v>
      </c>
      <c r="D7" s="468">
        <f>C7</f>
        <v>808094.85</v>
      </c>
      <c r="E7" s="475"/>
      <c r="F7" s="489" t="str">
        <f t="shared" si="2"/>
        <v>----</v>
      </c>
      <c r="G7" s="475">
        <v>809813.81</v>
      </c>
      <c r="H7" s="489">
        <f t="shared" si="0"/>
        <v>1718.9600000000792</v>
      </c>
      <c r="I7" s="792" t="s">
        <v>703</v>
      </c>
      <c r="J7" s="119" t="str">
        <f t="shared" si="1"/>
        <v>----</v>
      </c>
    </row>
    <row r="8" spans="1:11">
      <c r="A8" s="102"/>
      <c r="B8" s="103"/>
      <c r="C8" s="87"/>
      <c r="D8" s="468"/>
      <c r="E8" s="475"/>
      <c r="F8" s="489" t="str">
        <f t="shared" si="2"/>
        <v>----</v>
      </c>
      <c r="G8" s="475"/>
      <c r="H8" s="489" t="str">
        <f t="shared" si="0"/>
        <v>----</v>
      </c>
      <c r="I8" s="488"/>
      <c r="J8" s="119" t="str">
        <f t="shared" si="1"/>
        <v>----</v>
      </c>
    </row>
    <row r="9" spans="1:11">
      <c r="A9" s="102"/>
      <c r="B9" s="103"/>
      <c r="C9" s="87"/>
      <c r="D9" s="468"/>
      <c r="E9" s="475"/>
      <c r="F9" s="489" t="str">
        <f t="shared" si="2"/>
        <v>----</v>
      </c>
      <c r="G9" s="475"/>
      <c r="H9" s="489" t="str">
        <f t="shared" si="0"/>
        <v>----</v>
      </c>
      <c r="I9" s="488"/>
      <c r="J9" s="119" t="str">
        <f t="shared" si="1"/>
        <v>----</v>
      </c>
    </row>
    <row r="10" spans="1:11">
      <c r="A10" s="102"/>
      <c r="B10" s="103"/>
      <c r="C10" s="87"/>
      <c r="D10" s="468"/>
      <c r="E10" s="475"/>
      <c r="F10" s="489" t="str">
        <f t="shared" si="2"/>
        <v>----</v>
      </c>
      <c r="G10" s="475"/>
      <c r="H10" s="489" t="str">
        <f t="shared" si="0"/>
        <v>----</v>
      </c>
      <c r="I10" s="488"/>
      <c r="J10" s="119" t="str">
        <f t="shared" si="1"/>
        <v>----</v>
      </c>
    </row>
    <row r="11" spans="1:11">
      <c r="A11" s="102"/>
      <c r="B11" s="103"/>
      <c r="C11" s="87"/>
      <c r="D11" s="468"/>
      <c r="E11" s="475"/>
      <c r="F11" s="489" t="str">
        <f t="shared" si="2"/>
        <v>----</v>
      </c>
      <c r="G11" s="475"/>
      <c r="H11" s="489" t="str">
        <f t="shared" si="0"/>
        <v>----</v>
      </c>
      <c r="I11" s="488"/>
      <c r="J11" s="119" t="str">
        <f t="shared" si="1"/>
        <v>----</v>
      </c>
    </row>
    <row r="12" spans="1:11">
      <c r="A12" s="102"/>
      <c r="B12" s="103"/>
      <c r="C12" s="87"/>
      <c r="D12" s="468"/>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16"/>
      <c r="B16" s="117"/>
      <c r="C16" s="118"/>
      <c r="D16" s="469"/>
      <c r="E16" s="476"/>
      <c r="F16" s="489" t="str">
        <f t="shared" si="2"/>
        <v>----</v>
      </c>
      <c r="G16" s="476"/>
      <c r="H16" s="489" t="str">
        <f t="shared" si="0"/>
        <v>----</v>
      </c>
      <c r="I16" s="490"/>
      <c r="J16" s="119" t="str">
        <f t="shared" si="1"/>
        <v>----</v>
      </c>
    </row>
    <row r="17" spans="1:11" ht="15.75" thickBot="1">
      <c r="A17" s="74"/>
      <c r="B17" s="75"/>
      <c r="C17" s="76"/>
      <c r="D17" s="432"/>
      <c r="E17" s="477"/>
      <c r="F17" s="478" t="str">
        <f t="shared" si="2"/>
        <v>----</v>
      </c>
      <c r="G17" s="477"/>
      <c r="H17" s="478" t="str">
        <f t="shared" si="0"/>
        <v>----</v>
      </c>
      <c r="I17" s="483"/>
      <c r="J17" s="77" t="str">
        <f t="shared" si="1"/>
        <v>----</v>
      </c>
    </row>
    <row r="18" spans="1:11" ht="15.75" thickBot="1">
      <c r="A18" s="27"/>
      <c r="B18" s="27"/>
      <c r="C18" s="28"/>
      <c r="D18" s="28"/>
      <c r="E18" s="441"/>
      <c r="F18" s="443">
        <f>SUM(F4:F17)</f>
        <v>-44440.089999999909</v>
      </c>
      <c r="G18" s="441"/>
      <c r="H18" s="443">
        <f>SUM(H4:H17)</f>
        <v>1718.9600000000792</v>
      </c>
      <c r="I18" s="28"/>
      <c r="J18" s="69">
        <f>SUM(J4:J17)</f>
        <v>0</v>
      </c>
      <c r="K18" s="17"/>
    </row>
    <row r="19" spans="1:11">
      <c r="A19" s="17"/>
      <c r="B19" s="17"/>
      <c r="C19" s="20"/>
      <c r="D19" s="20"/>
      <c r="E19" s="437"/>
      <c r="F19" s="437"/>
      <c r="G19" s="437"/>
      <c r="H19" s="437"/>
      <c r="I19" s="20"/>
      <c r="J19" s="20"/>
      <c r="K19" s="17"/>
    </row>
    <row r="20" spans="1:11">
      <c r="A20" s="17"/>
      <c r="B20" s="17"/>
      <c r="C20" s="20"/>
      <c r="D20" s="20"/>
      <c r="E20" s="437"/>
      <c r="F20" s="437"/>
      <c r="G20" s="437"/>
      <c r="H20" s="437"/>
      <c r="I20" s="20"/>
      <c r="J20" s="20"/>
      <c r="K20" s="17"/>
    </row>
    <row r="21" spans="1:11">
      <c r="A21" s="17"/>
      <c r="B21" s="17"/>
      <c r="C21" s="20"/>
      <c r="D21" s="20"/>
      <c r="E21" s="437"/>
      <c r="F21" s="437"/>
      <c r="G21" s="437"/>
      <c r="H21" s="437"/>
      <c r="I21" s="20"/>
      <c r="J21" s="20"/>
      <c r="K21" s="17"/>
    </row>
    <row r="22" spans="1:11">
      <c r="A22" s="17"/>
      <c r="B22" s="17"/>
      <c r="C22" s="20"/>
      <c r="D22" s="20"/>
      <c r="E22" s="437"/>
      <c r="F22" s="437"/>
      <c r="G22" s="437"/>
      <c r="H22" s="437"/>
      <c r="I22" s="20"/>
      <c r="J22" s="20"/>
      <c r="K22" s="17"/>
    </row>
    <row r="23" spans="1:11">
      <c r="A23" s="17"/>
      <c r="B23" s="17"/>
      <c r="C23" s="20"/>
      <c r="D23" s="20"/>
      <c r="E23" s="437"/>
      <c r="F23" s="437"/>
      <c r="G23" s="437"/>
      <c r="H23" s="437"/>
      <c r="I23" s="20"/>
      <c r="J23" s="20"/>
      <c r="K23" s="17"/>
    </row>
    <row r="24" spans="1:11">
      <c r="A24" s="17"/>
      <c r="B24" s="17"/>
      <c r="C24" s="20"/>
      <c r="D24" s="20"/>
      <c r="E24" s="437"/>
      <c r="F24" s="437"/>
      <c r="G24" s="437"/>
      <c r="H24" s="437"/>
      <c r="I24" s="20"/>
      <c r="J24" s="20"/>
      <c r="K24" s="17"/>
    </row>
    <row r="25" spans="1:11">
      <c r="A25" s="17"/>
      <c r="B25" s="17"/>
      <c r="C25" s="20"/>
      <c r="D25" s="20"/>
      <c r="E25" s="437"/>
      <c r="F25" s="437"/>
      <c r="G25" s="437"/>
      <c r="H25" s="437"/>
      <c r="I25" s="20"/>
      <c r="J25" s="20"/>
      <c r="K25" s="17"/>
    </row>
    <row r="26" spans="1:11">
      <c r="A26" s="17"/>
      <c r="B26" s="17"/>
      <c r="C26" s="20"/>
      <c r="D26" s="20"/>
      <c r="E26" s="437"/>
      <c r="F26" s="437"/>
      <c r="G26" s="437"/>
      <c r="H26" s="437"/>
      <c r="I26" s="20"/>
      <c r="J26" s="20"/>
      <c r="K26" s="17"/>
    </row>
    <row r="27" spans="1:11">
      <c r="A27" s="17"/>
      <c r="B27" s="17"/>
      <c r="C27" s="20"/>
      <c r="D27" s="20"/>
      <c r="E27" s="437"/>
      <c r="F27" s="437"/>
      <c r="G27" s="437"/>
      <c r="H27" s="437"/>
      <c r="I27" s="20"/>
      <c r="J27" s="20"/>
      <c r="K27" s="17"/>
    </row>
    <row r="28" spans="1:11">
      <c r="A28" s="17"/>
      <c r="B28" s="17"/>
      <c r="C28" s="20"/>
      <c r="D28" s="20"/>
      <c r="E28" s="437"/>
      <c r="F28" s="437"/>
      <c r="G28" s="437"/>
      <c r="H28" s="437"/>
      <c r="I28" s="20"/>
      <c r="J28" s="20"/>
      <c r="K28" s="17"/>
    </row>
    <row r="29" spans="1:11">
      <c r="A29" s="17"/>
      <c r="B29" s="17"/>
      <c r="C29" s="20"/>
      <c r="D29" s="20"/>
      <c r="E29" s="437"/>
      <c r="F29" s="437"/>
      <c r="G29" s="437"/>
      <c r="H29" s="437"/>
      <c r="I29" s="20"/>
      <c r="J29" s="20"/>
      <c r="K29" s="17"/>
    </row>
    <row r="30" spans="1:11">
      <c r="A30" s="17"/>
      <c r="B30" s="17"/>
      <c r="C30" s="20"/>
      <c r="D30" s="20"/>
      <c r="E30" s="437"/>
      <c r="F30" s="437"/>
      <c r="G30" s="437"/>
      <c r="H30" s="437"/>
      <c r="I30" s="20"/>
      <c r="J30" s="20"/>
      <c r="K30" s="17"/>
    </row>
    <row r="31" spans="1:11">
      <c r="A31" s="17"/>
      <c r="B31" s="17"/>
      <c r="C31" s="20"/>
      <c r="D31" s="20"/>
      <c r="E31" s="437"/>
      <c r="F31" s="437"/>
      <c r="G31" s="437"/>
      <c r="H31" s="437"/>
      <c r="I31" s="20"/>
      <c r="J31" s="20"/>
      <c r="K31" s="17"/>
    </row>
    <row r="32" spans="1:11">
      <c r="A32" s="17"/>
      <c r="B32" s="17"/>
      <c r="C32" s="20"/>
      <c r="D32" s="20"/>
      <c r="E32" s="437"/>
      <c r="F32" s="437"/>
      <c r="G32" s="437"/>
      <c r="H32" s="437"/>
      <c r="I32" s="20"/>
      <c r="J32" s="20"/>
      <c r="K32" s="17"/>
    </row>
    <row r="33" spans="1:11">
      <c r="A33" s="17"/>
      <c r="B33" s="17"/>
      <c r="C33" s="20"/>
      <c r="D33" s="20"/>
      <c r="E33" s="437"/>
      <c r="F33" s="437"/>
      <c r="G33" s="437"/>
      <c r="H33" s="437"/>
      <c r="I33" s="20"/>
      <c r="J33" s="20"/>
      <c r="K33" s="17"/>
    </row>
    <row r="34" spans="1:11">
      <c r="C34" s="21"/>
      <c r="D34" s="21"/>
      <c r="E34" s="438"/>
      <c r="F34" s="438"/>
      <c r="G34" s="438"/>
      <c r="H34" s="438"/>
      <c r="I34" s="21"/>
      <c r="J34" s="21"/>
    </row>
    <row r="35" spans="1:11">
      <c r="C35" s="21"/>
      <c r="D35" s="21"/>
      <c r="E35" s="438"/>
      <c r="F35" s="438"/>
      <c r="G35" s="438"/>
      <c r="H35" s="438"/>
      <c r="I35" s="21"/>
      <c r="J35" s="21"/>
    </row>
    <row r="36" spans="1:11">
      <c r="C36" s="22"/>
      <c r="D36" s="22"/>
      <c r="E36" s="439"/>
      <c r="F36" s="439"/>
      <c r="G36" s="439"/>
      <c r="H36" s="439"/>
      <c r="I36" s="22"/>
      <c r="J36" s="22"/>
    </row>
    <row r="37" spans="1:11">
      <c r="C37" s="22"/>
      <c r="D37" s="22"/>
      <c r="E37" s="439"/>
      <c r="F37" s="439"/>
      <c r="G37" s="439"/>
      <c r="H37" s="439"/>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K21"/>
  <sheetViews>
    <sheetView workbookViewId="0">
      <selection activeCell="K9" sqref="K9"/>
    </sheetView>
  </sheetViews>
  <sheetFormatPr defaultRowHeight="15"/>
  <cols>
    <col min="2" max="2" width="24.28515625" customWidth="1"/>
    <col min="3" max="3" width="10.7109375" bestFit="1" customWidth="1"/>
    <col min="4" max="4" width="12.28515625" customWidth="1"/>
    <col min="5" max="5" width="10.5703125" style="434" customWidth="1"/>
    <col min="6" max="6" width="11.5703125" style="434" customWidth="1"/>
    <col min="7" max="7" width="10.5703125" style="434" customWidth="1"/>
    <col min="8" max="8" width="11.5703125" style="434" customWidth="1"/>
    <col min="9" max="9" width="10.5703125" customWidth="1"/>
    <col min="10" max="10" width="11.5703125" customWidth="1"/>
  </cols>
  <sheetData>
    <row r="1" spans="1:11" ht="15.75" thickBot="1">
      <c r="A1" s="958" t="s">
        <v>134</v>
      </c>
      <c r="B1" s="959"/>
      <c r="C1" s="959"/>
      <c r="D1" s="959"/>
      <c r="E1" s="959"/>
      <c r="F1" s="959"/>
      <c r="G1" s="959"/>
      <c r="H1" s="959"/>
      <c r="I1" s="959"/>
      <c r="J1" s="960"/>
    </row>
    <row r="2" spans="1:11" s="434" customFormat="1" ht="15" customHeigh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43788</v>
      </c>
      <c r="B4" s="71" t="s">
        <v>418</v>
      </c>
      <c r="C4" s="672">
        <v>271442.26</v>
      </c>
      <c r="D4" s="675">
        <f t="shared" ref="D4:D9" si="0">C4</f>
        <v>271442.26</v>
      </c>
      <c r="E4" s="685">
        <v>267887.15999999997</v>
      </c>
      <c r="F4" s="692">
        <f>IF(ISBLANK(E4),"----",E4-$D4)</f>
        <v>-3555.1000000000349</v>
      </c>
      <c r="G4" s="685" t="s">
        <v>703</v>
      </c>
      <c r="H4" s="692" t="str">
        <f t="shared" ref="H4:H19" si="1">IF(OR(G4="Complete",ISBLANK(G4)),"----",G4-$D4)</f>
        <v>----</v>
      </c>
      <c r="I4" s="680" t="s">
        <v>703</v>
      </c>
      <c r="J4" s="693" t="str">
        <f t="shared" ref="J4:J19" si="2">IF(OR(I4="Complete",ISBLANK(I4)),"----",I4-$D4)</f>
        <v>----</v>
      </c>
    </row>
    <row r="5" spans="1:11">
      <c r="A5" s="88">
        <v>44306</v>
      </c>
      <c r="B5" s="101" t="s">
        <v>417</v>
      </c>
      <c r="C5" s="674">
        <v>333064.84999999998</v>
      </c>
      <c r="D5" s="676">
        <f t="shared" si="0"/>
        <v>333064.84999999998</v>
      </c>
      <c r="E5" s="686">
        <v>330195.18</v>
      </c>
      <c r="F5" s="700">
        <f t="shared" ref="F5:F19" si="3">IF(ISBLANK(E5),"----",E5-$D5)</f>
        <v>-2869.6699999999837</v>
      </c>
      <c r="G5" s="686" t="s">
        <v>703</v>
      </c>
      <c r="H5" s="700" t="str">
        <f t="shared" si="1"/>
        <v>----</v>
      </c>
      <c r="I5" s="681" t="s">
        <v>703</v>
      </c>
      <c r="J5" s="701" t="str">
        <f t="shared" si="2"/>
        <v>----</v>
      </c>
    </row>
    <row r="6" spans="1:11">
      <c r="A6" s="102">
        <v>44880</v>
      </c>
      <c r="B6" s="103" t="s">
        <v>583</v>
      </c>
      <c r="C6" s="694">
        <v>584006.48</v>
      </c>
      <c r="D6" s="677">
        <f t="shared" si="0"/>
        <v>584006.48</v>
      </c>
      <c r="E6" s="687"/>
      <c r="F6" s="695" t="str">
        <f t="shared" si="3"/>
        <v>----</v>
      </c>
      <c r="G6" s="687">
        <v>569112.02</v>
      </c>
      <c r="H6" s="695">
        <f t="shared" si="1"/>
        <v>-14894.459999999963</v>
      </c>
      <c r="I6" s="682" t="s">
        <v>703</v>
      </c>
      <c r="J6" s="696" t="str">
        <f t="shared" si="2"/>
        <v>----</v>
      </c>
    </row>
    <row r="7" spans="1:11">
      <c r="A7" s="102">
        <v>45279</v>
      </c>
      <c r="B7" s="409" t="s">
        <v>685</v>
      </c>
      <c r="C7" s="694">
        <v>563972.6</v>
      </c>
      <c r="D7" s="677">
        <f t="shared" si="0"/>
        <v>563972.6</v>
      </c>
      <c r="E7" s="687"/>
      <c r="F7" s="695" t="str">
        <f t="shared" si="3"/>
        <v>----</v>
      </c>
      <c r="G7" s="687"/>
      <c r="H7" s="695" t="str">
        <f t="shared" si="1"/>
        <v>----</v>
      </c>
      <c r="I7" s="682">
        <v>550429.41</v>
      </c>
      <c r="J7" s="696">
        <f t="shared" si="2"/>
        <v>-13543.189999999944</v>
      </c>
    </row>
    <row r="8" spans="1:11">
      <c r="A8" s="102">
        <v>45279</v>
      </c>
      <c r="B8" s="409" t="s">
        <v>686</v>
      </c>
      <c r="C8" s="694">
        <v>742313.3</v>
      </c>
      <c r="D8" s="677">
        <f t="shared" si="0"/>
        <v>742313.3</v>
      </c>
      <c r="E8" s="687"/>
      <c r="F8" s="695" t="str">
        <f t="shared" si="3"/>
        <v>----</v>
      </c>
      <c r="G8" s="687"/>
      <c r="H8" s="695" t="str">
        <f t="shared" si="1"/>
        <v>----</v>
      </c>
      <c r="I8" s="682"/>
      <c r="J8" s="696" t="str">
        <f t="shared" si="2"/>
        <v>----</v>
      </c>
      <c r="K8" t="s">
        <v>899</v>
      </c>
    </row>
    <row r="9" spans="1:11">
      <c r="A9" s="670">
        <v>45643</v>
      </c>
      <c r="B9" s="671" t="s">
        <v>799</v>
      </c>
      <c r="C9" s="694">
        <v>1223739.1499999999</v>
      </c>
      <c r="D9" s="677">
        <f t="shared" si="0"/>
        <v>1223739.1499999999</v>
      </c>
      <c r="E9" s="687"/>
      <c r="F9" s="695" t="str">
        <f t="shared" si="3"/>
        <v>----</v>
      </c>
      <c r="G9" s="687"/>
      <c r="H9" s="695" t="str">
        <f t="shared" si="1"/>
        <v>----</v>
      </c>
      <c r="I9" s="682"/>
      <c r="J9" s="696" t="str">
        <f t="shared" si="2"/>
        <v>----</v>
      </c>
    </row>
    <row r="10" spans="1:11">
      <c r="A10" s="102"/>
      <c r="B10" s="103"/>
      <c r="C10" s="694"/>
      <c r="D10" s="677"/>
      <c r="E10" s="687"/>
      <c r="F10" s="695" t="str">
        <f t="shared" si="3"/>
        <v>----</v>
      </c>
      <c r="G10" s="687"/>
      <c r="H10" s="695" t="str">
        <f t="shared" si="1"/>
        <v>----</v>
      </c>
      <c r="I10" s="682"/>
      <c r="J10" s="696" t="str">
        <f t="shared" si="2"/>
        <v>----</v>
      </c>
    </row>
    <row r="11" spans="1:11">
      <c r="A11" s="102"/>
      <c r="B11" s="103"/>
      <c r="C11" s="694"/>
      <c r="D11" s="677"/>
      <c r="E11" s="687"/>
      <c r="F11" s="695" t="str">
        <f t="shared" si="3"/>
        <v>----</v>
      </c>
      <c r="G11" s="687"/>
      <c r="H11" s="695" t="str">
        <f t="shared" si="1"/>
        <v>----</v>
      </c>
      <c r="I11" s="682"/>
      <c r="J11" s="696" t="str">
        <f t="shared" si="2"/>
        <v>----</v>
      </c>
    </row>
    <row r="12" spans="1:11">
      <c r="A12" s="102"/>
      <c r="B12" s="103"/>
      <c r="C12" s="694"/>
      <c r="D12" s="677"/>
      <c r="E12" s="687"/>
      <c r="F12" s="695" t="str">
        <f t="shared" si="3"/>
        <v>----</v>
      </c>
      <c r="G12" s="687"/>
      <c r="H12" s="695" t="str">
        <f t="shared" si="1"/>
        <v>----</v>
      </c>
      <c r="I12" s="682"/>
      <c r="J12" s="696" t="str">
        <f t="shared" si="2"/>
        <v>----</v>
      </c>
    </row>
    <row r="13" spans="1:11">
      <c r="A13" s="102"/>
      <c r="B13" s="103"/>
      <c r="C13" s="694"/>
      <c r="D13" s="677"/>
      <c r="E13" s="687"/>
      <c r="F13" s="695" t="str">
        <f t="shared" si="3"/>
        <v>----</v>
      </c>
      <c r="G13" s="687"/>
      <c r="H13" s="695" t="str">
        <f t="shared" si="1"/>
        <v>----</v>
      </c>
      <c r="I13" s="682"/>
      <c r="J13" s="696" t="str">
        <f t="shared" si="2"/>
        <v>----</v>
      </c>
    </row>
    <row r="14" spans="1:11">
      <c r="A14" s="102"/>
      <c r="B14" s="103"/>
      <c r="C14" s="694"/>
      <c r="D14" s="677"/>
      <c r="E14" s="687"/>
      <c r="F14" s="695" t="str">
        <f t="shared" si="3"/>
        <v>----</v>
      </c>
      <c r="G14" s="687"/>
      <c r="H14" s="695" t="str">
        <f t="shared" si="1"/>
        <v>----</v>
      </c>
      <c r="I14" s="682"/>
      <c r="J14" s="696" t="str">
        <f t="shared" si="2"/>
        <v>----</v>
      </c>
    </row>
    <row r="15" spans="1:11">
      <c r="A15" s="102"/>
      <c r="B15" s="103"/>
      <c r="C15" s="694"/>
      <c r="D15" s="677"/>
      <c r="E15" s="687"/>
      <c r="F15" s="695" t="str">
        <f t="shared" si="3"/>
        <v>----</v>
      </c>
      <c r="G15" s="687"/>
      <c r="H15" s="695" t="str">
        <f t="shared" si="1"/>
        <v>----</v>
      </c>
      <c r="I15" s="682"/>
      <c r="J15" s="696" t="str">
        <f t="shared" si="2"/>
        <v>----</v>
      </c>
    </row>
    <row r="16" spans="1:11">
      <c r="A16" s="102"/>
      <c r="B16" s="103"/>
      <c r="C16" s="694"/>
      <c r="D16" s="677"/>
      <c r="E16" s="687"/>
      <c r="F16" s="695" t="str">
        <f t="shared" si="3"/>
        <v>----</v>
      </c>
      <c r="G16" s="687"/>
      <c r="H16" s="695" t="str">
        <f t="shared" si="1"/>
        <v>----</v>
      </c>
      <c r="I16" s="682"/>
      <c r="J16" s="696" t="str">
        <f t="shared" si="2"/>
        <v>----</v>
      </c>
    </row>
    <row r="17" spans="1:10">
      <c r="A17" s="102"/>
      <c r="B17" s="103"/>
      <c r="C17" s="694"/>
      <c r="D17" s="677"/>
      <c r="E17" s="687"/>
      <c r="F17" s="695" t="str">
        <f t="shared" si="3"/>
        <v>----</v>
      </c>
      <c r="G17" s="687"/>
      <c r="H17" s="695" t="str">
        <f t="shared" si="1"/>
        <v>----</v>
      </c>
      <c r="I17" s="682"/>
      <c r="J17" s="696" t="str">
        <f t="shared" si="2"/>
        <v>----</v>
      </c>
    </row>
    <row r="18" spans="1:10">
      <c r="A18" s="116"/>
      <c r="B18" s="117"/>
      <c r="C18" s="697"/>
      <c r="D18" s="678"/>
      <c r="E18" s="688"/>
      <c r="F18" s="698" t="str">
        <f t="shared" si="3"/>
        <v>----</v>
      </c>
      <c r="G18" s="688"/>
      <c r="H18" s="698" t="str">
        <f t="shared" si="1"/>
        <v>----</v>
      </c>
      <c r="I18" s="683"/>
      <c r="J18" s="699" t="str">
        <f t="shared" si="2"/>
        <v>----</v>
      </c>
    </row>
    <row r="19" spans="1:10" ht="15.75" thickBot="1">
      <c r="A19" s="74"/>
      <c r="B19" s="75"/>
      <c r="C19" s="673"/>
      <c r="D19" s="679"/>
      <c r="E19" s="689"/>
      <c r="F19" s="690" t="str">
        <f t="shared" si="3"/>
        <v>----</v>
      </c>
      <c r="G19" s="689"/>
      <c r="H19" s="690" t="str">
        <f t="shared" si="1"/>
        <v>----</v>
      </c>
      <c r="I19" s="684"/>
      <c r="J19" s="691" t="str">
        <f t="shared" si="2"/>
        <v>----</v>
      </c>
    </row>
    <row r="20" spans="1:10" ht="15.75" thickBot="1">
      <c r="A20" s="27"/>
      <c r="B20" s="27"/>
      <c r="C20" s="28"/>
      <c r="D20" s="28"/>
      <c r="E20" s="441"/>
      <c r="F20" s="443">
        <f>SUM(F4:F19)</f>
        <v>-6424.7700000000186</v>
      </c>
      <c r="G20" s="441"/>
      <c r="H20" s="443">
        <f>SUM(H4:H19)</f>
        <v>-14894.459999999963</v>
      </c>
      <c r="I20" s="28"/>
      <c r="J20" s="69">
        <f>SUM(J4:J19)</f>
        <v>-13543.189999999944</v>
      </c>
    </row>
    <row r="21" spans="1:10">
      <c r="A21" s="17"/>
      <c r="B21" s="17"/>
      <c r="C21" s="20"/>
      <c r="D21" s="20"/>
      <c r="E21" s="437"/>
      <c r="F21" s="437"/>
      <c r="G21" s="437"/>
      <c r="H21" s="437"/>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4" customWidth="1"/>
    <col min="6" max="6" width="9.85546875" style="434" bestFit="1" customWidth="1"/>
    <col min="7" max="7" width="12.28515625" style="434" customWidth="1"/>
    <col min="8" max="8" width="9.85546875" style="434" bestFit="1" customWidth="1"/>
    <col min="9" max="9" width="12.28515625" customWidth="1"/>
    <col min="10" max="10" width="9.85546875" bestFit="1" customWidth="1"/>
  </cols>
  <sheetData>
    <row r="1" spans="1:10" ht="15.75" thickBot="1">
      <c r="A1" s="958" t="s">
        <v>172</v>
      </c>
      <c r="B1" s="959"/>
      <c r="C1" s="959"/>
      <c r="D1" s="959"/>
      <c r="E1" s="959"/>
      <c r="F1" s="959"/>
      <c r="G1" s="959"/>
      <c r="H1" s="959"/>
      <c r="I1" s="959"/>
      <c r="J1" s="960"/>
    </row>
    <row r="2" spans="1:10" s="434" customFormat="1" ht="15" customHeigh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43852</v>
      </c>
      <c r="B4" s="71" t="s">
        <v>173</v>
      </c>
      <c r="C4" s="72">
        <v>527745.1</v>
      </c>
      <c r="D4" s="431">
        <f>C4</f>
        <v>527745.1</v>
      </c>
      <c r="E4" s="471">
        <v>530913.64</v>
      </c>
      <c r="F4" s="472">
        <f>IF(ISBLANK(E4),"----",E4-$D4)</f>
        <v>3168.5400000000373</v>
      </c>
      <c r="G4" s="471" t="s">
        <v>703</v>
      </c>
      <c r="H4" s="472" t="str">
        <f t="shared" ref="H4:H22" si="0">IF(OR(G4="Complete",ISBLANK(G4)),"----",G4-$D4)</f>
        <v>----</v>
      </c>
      <c r="I4" s="481" t="s">
        <v>703</v>
      </c>
      <c r="J4" s="73" t="str">
        <f t="shared" ref="J4:J22" si="1">IF(OR(I4="Complete",ISBLANK(I4)),"----",I4-$D4)</f>
        <v>----</v>
      </c>
    </row>
    <row r="5" spans="1:10">
      <c r="A5" s="91">
        <v>44153</v>
      </c>
      <c r="B5" s="92" t="s">
        <v>324</v>
      </c>
      <c r="C5" s="84">
        <v>575300.88</v>
      </c>
      <c r="D5" s="479">
        <f>C5</f>
        <v>575300.88</v>
      </c>
      <c r="E5" s="484">
        <v>575147.97</v>
      </c>
      <c r="F5" s="485">
        <f t="shared" ref="F5:F22" si="2">IF(ISBLANK(E5),"----",E5-$D5)</f>
        <v>-152.9100000000326</v>
      </c>
      <c r="G5" s="484" t="s">
        <v>703</v>
      </c>
      <c r="H5" s="485" t="str">
        <f t="shared" si="0"/>
        <v>----</v>
      </c>
      <c r="I5" s="482" t="s">
        <v>703</v>
      </c>
      <c r="J5" s="85" t="str">
        <f t="shared" si="1"/>
        <v>----</v>
      </c>
    </row>
    <row r="6" spans="1:10" s="434" customFormat="1">
      <c r="A6" s="451"/>
      <c r="B6" s="452"/>
      <c r="C6" s="448"/>
      <c r="D6" s="468"/>
      <c r="E6" s="475"/>
      <c r="F6" s="487" t="str">
        <f t="shared" si="2"/>
        <v>----</v>
      </c>
      <c r="G6" s="475"/>
      <c r="H6" s="487" t="str">
        <f t="shared" si="0"/>
        <v>----</v>
      </c>
      <c r="I6" s="488"/>
      <c r="J6" s="453" t="str">
        <f t="shared" si="1"/>
        <v>----</v>
      </c>
    </row>
    <row r="7" spans="1:10" s="434" customFormat="1">
      <c r="A7" s="451"/>
      <c r="B7" s="452"/>
      <c r="C7" s="448"/>
      <c r="D7" s="468"/>
      <c r="E7" s="475"/>
      <c r="F7" s="487" t="str">
        <f t="shared" si="2"/>
        <v>----</v>
      </c>
      <c r="G7" s="475"/>
      <c r="H7" s="487" t="str">
        <f t="shared" si="0"/>
        <v>----</v>
      </c>
      <c r="I7" s="488"/>
      <c r="J7" s="453" t="str">
        <f t="shared" si="1"/>
        <v>----</v>
      </c>
    </row>
    <row r="8" spans="1:10" s="434" customFormat="1">
      <c r="A8" s="451"/>
      <c r="B8" s="452"/>
      <c r="C8" s="448"/>
      <c r="D8" s="468"/>
      <c r="E8" s="475"/>
      <c r="F8" s="487" t="str">
        <f t="shared" si="2"/>
        <v>----</v>
      </c>
      <c r="G8" s="475"/>
      <c r="H8" s="487" t="str">
        <f t="shared" si="0"/>
        <v>----</v>
      </c>
      <c r="I8" s="488"/>
      <c r="J8" s="453" t="str">
        <f t="shared" si="1"/>
        <v>----</v>
      </c>
    </row>
    <row r="9" spans="1:10" s="434" customFormat="1">
      <c r="A9" s="451"/>
      <c r="B9" s="452"/>
      <c r="C9" s="448"/>
      <c r="D9" s="468"/>
      <c r="E9" s="475"/>
      <c r="F9" s="487" t="str">
        <f t="shared" si="2"/>
        <v>----</v>
      </c>
      <c r="G9" s="475"/>
      <c r="H9" s="487" t="str">
        <f t="shared" si="0"/>
        <v>----</v>
      </c>
      <c r="I9" s="488"/>
      <c r="J9" s="453" t="str">
        <f t="shared" si="1"/>
        <v>----</v>
      </c>
    </row>
    <row r="10" spans="1:10" s="434" customFormat="1">
      <c r="A10" s="451"/>
      <c r="B10" s="452"/>
      <c r="C10" s="448"/>
      <c r="D10" s="468"/>
      <c r="E10" s="475"/>
      <c r="F10" s="487" t="str">
        <f t="shared" si="2"/>
        <v>----</v>
      </c>
      <c r="G10" s="475"/>
      <c r="H10" s="487" t="str">
        <f t="shared" si="0"/>
        <v>----</v>
      </c>
      <c r="I10" s="488"/>
      <c r="J10" s="453" t="str">
        <f t="shared" si="1"/>
        <v>----</v>
      </c>
    </row>
    <row r="11" spans="1:10" s="434" customFormat="1">
      <c r="A11" s="451"/>
      <c r="B11" s="452"/>
      <c r="C11" s="448"/>
      <c r="D11" s="468"/>
      <c r="E11" s="475"/>
      <c r="F11" s="487" t="str">
        <f t="shared" si="2"/>
        <v>----</v>
      </c>
      <c r="G11" s="475"/>
      <c r="H11" s="487" t="str">
        <f t="shared" si="0"/>
        <v>----</v>
      </c>
      <c r="I11" s="488"/>
      <c r="J11" s="453" t="str">
        <f t="shared" si="1"/>
        <v>----</v>
      </c>
    </row>
    <row r="12" spans="1:10" s="434" customFormat="1">
      <c r="A12" s="451"/>
      <c r="B12" s="452"/>
      <c r="C12" s="448"/>
      <c r="D12" s="468"/>
      <c r="E12" s="475"/>
      <c r="F12" s="487" t="str">
        <f t="shared" si="2"/>
        <v>----</v>
      </c>
      <c r="G12" s="475"/>
      <c r="H12" s="487" t="str">
        <f t="shared" si="0"/>
        <v>----</v>
      </c>
      <c r="I12" s="488"/>
      <c r="J12" s="453" t="str">
        <f t="shared" si="1"/>
        <v>----</v>
      </c>
    </row>
    <row r="13" spans="1:10" s="434" customFormat="1">
      <c r="A13" s="451"/>
      <c r="B13" s="452"/>
      <c r="C13" s="448"/>
      <c r="D13" s="468"/>
      <c r="E13" s="475"/>
      <c r="F13" s="487" t="str">
        <f t="shared" si="2"/>
        <v>----</v>
      </c>
      <c r="G13" s="475"/>
      <c r="H13" s="487" t="str">
        <f t="shared" si="0"/>
        <v>----</v>
      </c>
      <c r="I13" s="488"/>
      <c r="J13" s="453" t="str">
        <f t="shared" si="1"/>
        <v>----</v>
      </c>
    </row>
    <row r="14" spans="1:10" s="434" customFormat="1">
      <c r="A14" s="451"/>
      <c r="B14" s="452"/>
      <c r="C14" s="448"/>
      <c r="D14" s="468"/>
      <c r="E14" s="475"/>
      <c r="F14" s="487" t="str">
        <f t="shared" si="2"/>
        <v>----</v>
      </c>
      <c r="G14" s="475"/>
      <c r="H14" s="487" t="str">
        <f t="shared" si="0"/>
        <v>----</v>
      </c>
      <c r="I14" s="488"/>
      <c r="J14" s="453" t="str">
        <f t="shared" si="1"/>
        <v>----</v>
      </c>
    </row>
    <row r="15" spans="1:10" s="434" customFormat="1">
      <c r="A15" s="451"/>
      <c r="B15" s="452"/>
      <c r="C15" s="448"/>
      <c r="D15" s="468"/>
      <c r="E15" s="475"/>
      <c r="F15" s="487" t="str">
        <f t="shared" si="2"/>
        <v>----</v>
      </c>
      <c r="G15" s="475"/>
      <c r="H15" s="487" t="str">
        <f t="shared" si="0"/>
        <v>----</v>
      </c>
      <c r="I15" s="488"/>
      <c r="J15" s="453" t="str">
        <f t="shared" si="1"/>
        <v>----</v>
      </c>
    </row>
    <row r="16" spans="1:10" s="434" customFormat="1">
      <c r="A16" s="451"/>
      <c r="B16" s="452"/>
      <c r="C16" s="448"/>
      <c r="D16" s="468"/>
      <c r="E16" s="475"/>
      <c r="F16" s="487" t="str">
        <f t="shared" si="2"/>
        <v>----</v>
      </c>
      <c r="G16" s="475"/>
      <c r="H16" s="487" t="str">
        <f t="shared" si="0"/>
        <v>----</v>
      </c>
      <c r="I16" s="488"/>
      <c r="J16" s="453" t="str">
        <f t="shared" si="1"/>
        <v>----</v>
      </c>
    </row>
    <row r="17" spans="1:10" s="434" customFormat="1">
      <c r="A17" s="451"/>
      <c r="B17" s="452"/>
      <c r="C17" s="448"/>
      <c r="D17" s="468"/>
      <c r="E17" s="475"/>
      <c r="F17" s="487" t="str">
        <f t="shared" si="2"/>
        <v>----</v>
      </c>
      <c r="G17" s="475"/>
      <c r="H17" s="487" t="str">
        <f t="shared" si="0"/>
        <v>----</v>
      </c>
      <c r="I17" s="488"/>
      <c r="J17" s="453" t="str">
        <f t="shared" si="1"/>
        <v>----</v>
      </c>
    </row>
    <row r="18" spans="1:10" s="434" customFormat="1">
      <c r="A18" s="451"/>
      <c r="B18" s="452"/>
      <c r="C18" s="448"/>
      <c r="D18" s="468"/>
      <c r="E18" s="475"/>
      <c r="F18" s="487" t="str">
        <f t="shared" si="2"/>
        <v>----</v>
      </c>
      <c r="G18" s="475"/>
      <c r="H18" s="487" t="str">
        <f t="shared" si="0"/>
        <v>----</v>
      </c>
      <c r="I18" s="488"/>
      <c r="J18" s="453" t="str">
        <f t="shared" si="1"/>
        <v>----</v>
      </c>
    </row>
    <row r="19" spans="1:10" s="434" customFormat="1">
      <c r="A19" s="451"/>
      <c r="B19" s="452"/>
      <c r="C19" s="448"/>
      <c r="D19" s="468"/>
      <c r="E19" s="475"/>
      <c r="F19" s="487" t="str">
        <f t="shared" si="2"/>
        <v>----</v>
      </c>
      <c r="G19" s="475"/>
      <c r="H19" s="487" t="str">
        <f t="shared" si="0"/>
        <v>----</v>
      </c>
      <c r="I19" s="488"/>
      <c r="J19" s="453" t="str">
        <f t="shared" si="1"/>
        <v>----</v>
      </c>
    </row>
    <row r="20" spans="1:10" s="434" customFormat="1">
      <c r="A20" s="451"/>
      <c r="B20" s="452"/>
      <c r="C20" s="448"/>
      <c r="D20" s="468"/>
      <c r="E20" s="475"/>
      <c r="F20" s="487" t="str">
        <f t="shared" si="2"/>
        <v>----</v>
      </c>
      <c r="G20" s="475"/>
      <c r="H20" s="487" t="str">
        <f t="shared" si="0"/>
        <v>----</v>
      </c>
      <c r="I20" s="488"/>
      <c r="J20" s="453" t="str">
        <f t="shared" si="1"/>
        <v>----</v>
      </c>
    </row>
    <row r="21" spans="1:10" s="434" customFormat="1">
      <c r="A21" s="454"/>
      <c r="B21" s="455"/>
      <c r="C21" s="456"/>
      <c r="D21" s="469"/>
      <c r="E21" s="476"/>
      <c r="F21" s="489" t="str">
        <f t="shared" si="2"/>
        <v>----</v>
      </c>
      <c r="G21" s="476"/>
      <c r="H21" s="489" t="str">
        <f t="shared" si="0"/>
        <v>----</v>
      </c>
      <c r="I21" s="490"/>
      <c r="J21" s="457"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3015.6300000000047</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2" sqref="D22"/>
    </sheetView>
  </sheetViews>
  <sheetFormatPr defaultRowHeight="15"/>
  <cols>
    <col min="2" max="2" width="23" bestFit="1" customWidth="1"/>
    <col min="3" max="3" width="11.140625" bestFit="1" customWidth="1"/>
    <col min="4" max="4" width="11.7109375" customWidth="1"/>
    <col min="5" max="5" width="10.7109375" style="434" bestFit="1" customWidth="1"/>
    <col min="6" max="6" width="9.5703125" style="434" bestFit="1" customWidth="1"/>
    <col min="7" max="7" width="10.7109375" style="434" bestFit="1" customWidth="1"/>
    <col min="8" max="8" width="10.5703125" style="434" customWidth="1"/>
    <col min="9" max="9" width="10.7109375" bestFit="1" customWidth="1"/>
    <col min="10" max="10" width="10.5703125" customWidth="1"/>
    <col min="14" max="14" width="12.5703125" bestFit="1" customWidth="1"/>
    <col min="18" max="18" width="11.5703125" bestFit="1" customWidth="1"/>
  </cols>
  <sheetData>
    <row r="1" spans="1:18" ht="15.75" thickBot="1">
      <c r="A1" s="958" t="s">
        <v>248</v>
      </c>
      <c r="B1" s="959"/>
      <c r="C1" s="959"/>
      <c r="D1" s="959"/>
      <c r="E1" s="959"/>
      <c r="F1" s="959"/>
      <c r="G1" s="959"/>
      <c r="H1" s="959"/>
      <c r="I1" s="959"/>
      <c r="J1" s="960"/>
    </row>
    <row r="2" spans="1:18" s="434" customFormat="1" ht="15" customHeight="1">
      <c r="A2" s="965" t="s">
        <v>110</v>
      </c>
      <c r="B2" s="967" t="s">
        <v>111</v>
      </c>
      <c r="C2" s="967" t="s">
        <v>112</v>
      </c>
      <c r="D2" s="969" t="s">
        <v>120</v>
      </c>
      <c r="E2" s="963" t="s">
        <v>701</v>
      </c>
      <c r="F2" s="964"/>
      <c r="G2" s="963" t="s">
        <v>702</v>
      </c>
      <c r="H2" s="964"/>
      <c r="I2" s="938" t="s">
        <v>796</v>
      </c>
      <c r="J2" s="939"/>
    </row>
    <row r="3" spans="1:18" ht="57.75" thickBot="1">
      <c r="A3" s="966"/>
      <c r="B3" s="968"/>
      <c r="C3" s="968"/>
      <c r="D3" s="970"/>
      <c r="E3" s="462" t="s">
        <v>121</v>
      </c>
      <c r="F3" s="470" t="s">
        <v>704</v>
      </c>
      <c r="G3" s="462" t="s">
        <v>121</v>
      </c>
      <c r="H3" s="470" t="s">
        <v>704</v>
      </c>
      <c r="I3" s="480" t="s">
        <v>121</v>
      </c>
      <c r="J3" s="25" t="s">
        <v>704</v>
      </c>
    </row>
    <row r="4" spans="1:18">
      <c r="A4" s="70">
        <v>43998</v>
      </c>
      <c r="B4" s="71" t="s">
        <v>290</v>
      </c>
      <c r="C4" s="787">
        <v>372896.05</v>
      </c>
      <c r="D4" s="793">
        <f>C4</f>
        <v>372896.05</v>
      </c>
      <c r="E4" s="800">
        <v>382349.78</v>
      </c>
      <c r="F4" s="809">
        <f>IF(ISBLANK(E4),"----",E4-$D4)</f>
        <v>9453.7300000000396</v>
      </c>
      <c r="G4" s="800" t="s">
        <v>703</v>
      </c>
      <c r="H4" s="809" t="str">
        <f t="shared" ref="H4:H29" si="0">IF(OR(G4="Complete",ISBLANK(G4)),"----",G4-$D4)</f>
        <v>----</v>
      </c>
      <c r="I4" s="797" t="s">
        <v>703</v>
      </c>
      <c r="J4" s="810" t="str">
        <f t="shared" ref="J4:J29" si="1">IF(OR(I4="Complete",ISBLANK(I4)),"----",I4-$D4)</f>
        <v>----</v>
      </c>
    </row>
    <row r="5" spans="1:18">
      <c r="A5" s="88">
        <v>44089</v>
      </c>
      <c r="B5" s="101" t="s">
        <v>303</v>
      </c>
      <c r="C5" s="790">
        <v>276665.5</v>
      </c>
      <c r="D5" s="794">
        <f>C5</f>
        <v>276665.5</v>
      </c>
      <c r="E5" s="801">
        <v>273156.69</v>
      </c>
      <c r="F5" s="813">
        <f t="shared" ref="F5:F29" si="2">IF(ISBLANK(E5),"----",E5-$D5)</f>
        <v>-3508.8099999999977</v>
      </c>
      <c r="G5" s="801" t="s">
        <v>703</v>
      </c>
      <c r="H5" s="813" t="str">
        <f t="shared" si="0"/>
        <v>----</v>
      </c>
      <c r="I5" s="798" t="s">
        <v>703</v>
      </c>
      <c r="J5" s="814" t="str">
        <f t="shared" si="1"/>
        <v>----</v>
      </c>
    </row>
    <row r="6" spans="1:18">
      <c r="A6" s="91">
        <v>44124</v>
      </c>
      <c r="B6" s="92" t="s">
        <v>308</v>
      </c>
      <c r="C6" s="788">
        <f>1808794.7/2</f>
        <v>904397.35</v>
      </c>
      <c r="D6" s="803">
        <f>361758.94/2</f>
        <v>180879.47</v>
      </c>
      <c r="E6" s="805"/>
      <c r="F6" s="813" t="str">
        <f t="shared" si="2"/>
        <v>----</v>
      </c>
      <c r="G6" s="805">
        <f>(1828683.75-1462947)/2</f>
        <v>182868.375</v>
      </c>
      <c r="H6" s="813">
        <f t="shared" si="0"/>
        <v>1988.9049999999988</v>
      </c>
      <c r="I6" s="804" t="s">
        <v>703</v>
      </c>
      <c r="J6" s="814" t="str">
        <f t="shared" si="1"/>
        <v>----</v>
      </c>
      <c r="K6" t="s">
        <v>322</v>
      </c>
    </row>
    <row r="7" spans="1:18">
      <c r="A7" s="973">
        <v>44153</v>
      </c>
      <c r="B7" s="121" t="s">
        <v>325</v>
      </c>
      <c r="C7" s="731">
        <v>731263.3</v>
      </c>
      <c r="D7" s="748">
        <v>335268.3</v>
      </c>
      <c r="E7" s="762"/>
      <c r="F7" s="813" t="str">
        <f t="shared" si="2"/>
        <v>----</v>
      </c>
      <c r="G7" s="762">
        <f>732025.53-395995</f>
        <v>336030.53</v>
      </c>
      <c r="H7" s="813">
        <f t="shared" si="0"/>
        <v>762.23000000003958</v>
      </c>
      <c r="I7" s="763" t="s">
        <v>703</v>
      </c>
      <c r="J7" s="814" t="str">
        <f t="shared" si="1"/>
        <v>----</v>
      </c>
      <c r="K7" t="s">
        <v>744</v>
      </c>
      <c r="N7" s="606"/>
    </row>
    <row r="8" spans="1:18">
      <c r="A8" s="974"/>
      <c r="B8" s="121" t="s">
        <v>326</v>
      </c>
      <c r="C8" s="731">
        <v>350956.95</v>
      </c>
      <c r="D8" s="748">
        <v>77856.95</v>
      </c>
      <c r="E8" s="762"/>
      <c r="F8" s="813" t="str">
        <f t="shared" si="2"/>
        <v>----</v>
      </c>
      <c r="G8" s="762">
        <f>351552.66-273100</f>
        <v>78452.659999999974</v>
      </c>
      <c r="H8" s="813">
        <f t="shared" si="0"/>
        <v>595.7099999999773</v>
      </c>
      <c r="I8" s="763" t="s">
        <v>703</v>
      </c>
      <c r="J8" s="814" t="str">
        <f t="shared" si="1"/>
        <v>----</v>
      </c>
      <c r="K8" s="434" t="s">
        <v>746</v>
      </c>
      <c r="Q8" t="s">
        <v>748</v>
      </c>
    </row>
    <row r="9" spans="1:18">
      <c r="A9" s="974"/>
      <c r="B9" s="121" t="s">
        <v>327</v>
      </c>
      <c r="C9" s="731">
        <v>437207.5</v>
      </c>
      <c r="D9" s="748">
        <v>218727.5</v>
      </c>
      <c r="E9" s="762"/>
      <c r="F9" s="813" t="str">
        <f t="shared" si="2"/>
        <v>----</v>
      </c>
      <c r="G9" s="762">
        <f>436064.45-218480</f>
        <v>217584.45</v>
      </c>
      <c r="H9" s="813">
        <f t="shared" si="0"/>
        <v>-1143.0499999999884</v>
      </c>
      <c r="I9" s="763" t="s">
        <v>703</v>
      </c>
      <c r="J9" s="814" t="str">
        <f t="shared" si="1"/>
        <v>----</v>
      </c>
      <c r="K9" s="434" t="s">
        <v>747</v>
      </c>
      <c r="Q9" t="s">
        <v>749</v>
      </c>
    </row>
    <row r="10" spans="1:18">
      <c r="A10" s="975"/>
      <c r="B10" s="121" t="s">
        <v>328</v>
      </c>
      <c r="C10" s="731">
        <v>413012.45</v>
      </c>
      <c r="D10" s="748">
        <v>249152.45</v>
      </c>
      <c r="E10" s="762"/>
      <c r="F10" s="813" t="str">
        <f t="shared" si="2"/>
        <v>----</v>
      </c>
      <c r="G10" s="762">
        <f>458447.9-163860</f>
        <v>294587.90000000002</v>
      </c>
      <c r="H10" s="813">
        <f t="shared" si="0"/>
        <v>45435.450000000012</v>
      </c>
      <c r="I10" s="763" t="s">
        <v>703</v>
      </c>
      <c r="J10" s="814" t="str">
        <f t="shared" si="1"/>
        <v>----</v>
      </c>
      <c r="K10" s="434" t="s">
        <v>745</v>
      </c>
      <c r="R10" s="607"/>
    </row>
    <row r="11" spans="1:18">
      <c r="A11" s="120">
        <v>44180</v>
      </c>
      <c r="B11" s="121" t="s">
        <v>359</v>
      </c>
      <c r="C11" s="731">
        <v>635596.5</v>
      </c>
      <c r="D11" s="748">
        <f t="shared" ref="D11:D18" si="3">C11</f>
        <v>635596.5</v>
      </c>
      <c r="E11" s="762"/>
      <c r="F11" s="813" t="str">
        <f t="shared" si="2"/>
        <v>----</v>
      </c>
      <c r="G11" s="762">
        <v>632564.65</v>
      </c>
      <c r="H11" s="813">
        <f t="shared" si="0"/>
        <v>-3031.8499999999767</v>
      </c>
      <c r="I11" s="763" t="s">
        <v>703</v>
      </c>
      <c r="J11" s="814" t="str">
        <f t="shared" si="1"/>
        <v>----</v>
      </c>
    </row>
    <row r="12" spans="1:18">
      <c r="A12" s="120">
        <v>44460</v>
      </c>
      <c r="B12" s="121" t="s">
        <v>451</v>
      </c>
      <c r="C12" s="731">
        <v>335557.5</v>
      </c>
      <c r="D12" s="748">
        <f t="shared" si="3"/>
        <v>335557.5</v>
      </c>
      <c r="E12" s="762"/>
      <c r="F12" s="813" t="str">
        <f t="shared" si="2"/>
        <v>----</v>
      </c>
      <c r="G12" s="762">
        <v>342155.23</v>
      </c>
      <c r="H12" s="813">
        <f t="shared" si="0"/>
        <v>6597.7299999999814</v>
      </c>
      <c r="I12" s="763" t="s">
        <v>703</v>
      </c>
      <c r="J12" s="814" t="str">
        <f t="shared" si="1"/>
        <v>----</v>
      </c>
    </row>
    <row r="13" spans="1:18">
      <c r="A13" s="120">
        <v>44670</v>
      </c>
      <c r="B13" s="121" t="s">
        <v>513</v>
      </c>
      <c r="C13" s="731">
        <v>259701.6</v>
      </c>
      <c r="D13" s="748">
        <f t="shared" si="3"/>
        <v>259701.6</v>
      </c>
      <c r="E13" s="762"/>
      <c r="F13" s="813" t="str">
        <f t="shared" si="2"/>
        <v>----</v>
      </c>
      <c r="G13" s="762">
        <v>259147.81</v>
      </c>
      <c r="H13" s="813">
        <f t="shared" si="0"/>
        <v>-553.79000000000815</v>
      </c>
      <c r="I13" s="763" t="s">
        <v>703</v>
      </c>
      <c r="J13" s="814" t="str">
        <f t="shared" si="1"/>
        <v>----</v>
      </c>
    </row>
    <row r="14" spans="1:18">
      <c r="A14" s="273">
        <v>44824</v>
      </c>
      <c r="B14" s="274" t="s">
        <v>563</v>
      </c>
      <c r="C14" s="856">
        <v>485498.38</v>
      </c>
      <c r="D14" s="857">
        <f t="shared" si="3"/>
        <v>485498.38</v>
      </c>
      <c r="E14" s="858"/>
      <c r="F14" s="813" t="str">
        <f t="shared" si="2"/>
        <v>----</v>
      </c>
      <c r="G14" s="858">
        <v>472457.36</v>
      </c>
      <c r="H14" s="813">
        <f t="shared" si="0"/>
        <v>-13041.020000000019</v>
      </c>
      <c r="I14" s="763" t="s">
        <v>703</v>
      </c>
      <c r="J14" s="814" t="str">
        <f t="shared" si="1"/>
        <v>----</v>
      </c>
    </row>
    <row r="15" spans="1:18">
      <c r="A15" s="273">
        <v>45308</v>
      </c>
      <c r="B15" s="274" t="s">
        <v>707</v>
      </c>
      <c r="C15" s="856">
        <v>615355.4</v>
      </c>
      <c r="D15" s="857">
        <f t="shared" si="3"/>
        <v>615355.4</v>
      </c>
      <c r="E15" s="858"/>
      <c r="F15" s="813" t="str">
        <f t="shared" si="2"/>
        <v>----</v>
      </c>
      <c r="G15" s="858"/>
      <c r="H15" s="813" t="str">
        <f t="shared" si="0"/>
        <v>----</v>
      </c>
      <c r="I15" s="859"/>
      <c r="J15" s="814" t="str">
        <f t="shared" si="1"/>
        <v>----</v>
      </c>
    </row>
    <row r="16" spans="1:18">
      <c r="A16" s="273">
        <v>45398</v>
      </c>
      <c r="B16" s="274" t="s">
        <v>736</v>
      </c>
      <c r="C16" s="856">
        <v>453169.25</v>
      </c>
      <c r="D16" s="857">
        <f t="shared" si="3"/>
        <v>453169.25</v>
      </c>
      <c r="E16" s="858"/>
      <c r="F16" s="813" t="str">
        <f t="shared" si="2"/>
        <v>----</v>
      </c>
      <c r="G16" s="858"/>
      <c r="H16" s="813" t="str">
        <f t="shared" si="0"/>
        <v>----</v>
      </c>
      <c r="I16" s="859"/>
      <c r="J16" s="814" t="str">
        <f t="shared" si="1"/>
        <v>----</v>
      </c>
    </row>
    <row r="17" spans="1:10">
      <c r="A17" s="273">
        <v>45398</v>
      </c>
      <c r="B17" s="274" t="s">
        <v>737</v>
      </c>
      <c r="C17" s="856">
        <v>274495.75</v>
      </c>
      <c r="D17" s="857">
        <f t="shared" si="3"/>
        <v>274495.75</v>
      </c>
      <c r="E17" s="858"/>
      <c r="F17" s="813" t="str">
        <f t="shared" si="2"/>
        <v>----</v>
      </c>
      <c r="G17" s="858"/>
      <c r="H17" s="813" t="str">
        <f t="shared" si="0"/>
        <v>----</v>
      </c>
      <c r="I17" s="859"/>
      <c r="J17" s="814" t="str">
        <f t="shared" si="1"/>
        <v>----</v>
      </c>
    </row>
    <row r="18" spans="1:10">
      <c r="A18" s="273">
        <v>45615</v>
      </c>
      <c r="B18" s="274" t="s">
        <v>779</v>
      </c>
      <c r="C18" s="856">
        <v>459494.21</v>
      </c>
      <c r="D18" s="857">
        <f t="shared" si="3"/>
        <v>459494.21</v>
      </c>
      <c r="E18" s="858"/>
      <c r="F18" s="813" t="str">
        <f t="shared" si="2"/>
        <v>----</v>
      </c>
      <c r="G18" s="858"/>
      <c r="H18" s="813" t="str">
        <f t="shared" si="0"/>
        <v>----</v>
      </c>
      <c r="I18" s="859"/>
      <c r="J18" s="814" t="str">
        <f t="shared" si="1"/>
        <v>----</v>
      </c>
    </row>
    <row r="19" spans="1:10">
      <c r="A19" s="273">
        <v>45762</v>
      </c>
      <c r="B19" s="274" t="s">
        <v>868</v>
      </c>
      <c r="C19" s="856">
        <v>362083.5</v>
      </c>
      <c r="D19" s="857">
        <f>C19</f>
        <v>362083.5</v>
      </c>
      <c r="E19" s="858"/>
      <c r="F19" s="813" t="str">
        <f t="shared" si="2"/>
        <v>----</v>
      </c>
      <c r="G19" s="858"/>
      <c r="H19" s="813" t="str">
        <f t="shared" si="0"/>
        <v>----</v>
      </c>
      <c r="I19" s="859"/>
      <c r="J19" s="814" t="str">
        <f t="shared" si="1"/>
        <v>----</v>
      </c>
    </row>
    <row r="20" spans="1:10">
      <c r="A20" s="273">
        <v>45888</v>
      </c>
      <c r="B20" s="274" t="s">
        <v>893</v>
      </c>
      <c r="C20" s="856">
        <v>312845.15000000002</v>
      </c>
      <c r="D20" s="857">
        <f>C20</f>
        <v>312845.15000000002</v>
      </c>
      <c r="E20" s="858"/>
      <c r="F20" s="813" t="str">
        <f t="shared" si="2"/>
        <v>----</v>
      </c>
      <c r="G20" s="858"/>
      <c r="H20" s="813" t="str">
        <f t="shared" si="0"/>
        <v>----</v>
      </c>
      <c r="I20" s="859"/>
      <c r="J20" s="814" t="str">
        <f t="shared" si="1"/>
        <v>----</v>
      </c>
    </row>
    <row r="21" spans="1:10" s="786" customFormat="1">
      <c r="A21" s="273">
        <v>45888</v>
      </c>
      <c r="B21" s="274" t="s">
        <v>894</v>
      </c>
      <c r="C21" s="856">
        <v>523671.02</v>
      </c>
      <c r="D21" s="857">
        <f>C21</f>
        <v>523671.02</v>
      </c>
      <c r="E21" s="858"/>
      <c r="F21" s="813" t="str">
        <f t="shared" ref="F21:F27" si="4">IF(ISBLANK(E21),"----",E21-$D21)</f>
        <v>----</v>
      </c>
      <c r="G21" s="858"/>
      <c r="H21" s="813" t="str">
        <f t="shared" ref="H21:H27" si="5">IF(OR(G21="Complete",ISBLANK(G21)),"----",G21-$D21)</f>
        <v>----</v>
      </c>
      <c r="I21" s="859"/>
      <c r="J21" s="814" t="str">
        <f t="shared" ref="J21:J27" si="6">IF(OR(I21="Complete",ISBLANK(I21)),"----",I21-$D21)</f>
        <v>----</v>
      </c>
    </row>
    <row r="22" spans="1:10" s="786" customFormat="1">
      <c r="A22" s="273"/>
      <c r="B22" s="274"/>
      <c r="C22" s="856"/>
      <c r="D22" s="857"/>
      <c r="E22" s="858"/>
      <c r="F22" s="813" t="str">
        <f t="shared" si="4"/>
        <v>----</v>
      </c>
      <c r="G22" s="858"/>
      <c r="H22" s="813" t="str">
        <f t="shared" si="5"/>
        <v>----</v>
      </c>
      <c r="I22" s="859"/>
      <c r="J22" s="814" t="str">
        <f t="shared" si="6"/>
        <v>----</v>
      </c>
    </row>
    <row r="23" spans="1:10" s="786" customFormat="1">
      <c r="A23" s="273"/>
      <c r="B23" s="274"/>
      <c r="C23" s="856"/>
      <c r="D23" s="857"/>
      <c r="E23" s="858"/>
      <c r="F23" s="813" t="str">
        <f t="shared" si="4"/>
        <v>----</v>
      </c>
      <c r="G23" s="858"/>
      <c r="H23" s="813" t="str">
        <f t="shared" si="5"/>
        <v>----</v>
      </c>
      <c r="I23" s="859"/>
      <c r="J23" s="814" t="str">
        <f t="shared" si="6"/>
        <v>----</v>
      </c>
    </row>
    <row r="24" spans="1:10" s="786" customFormat="1">
      <c r="A24" s="273"/>
      <c r="B24" s="274"/>
      <c r="C24" s="856"/>
      <c r="D24" s="857"/>
      <c r="E24" s="858"/>
      <c r="F24" s="813" t="str">
        <f t="shared" si="4"/>
        <v>----</v>
      </c>
      <c r="G24" s="858"/>
      <c r="H24" s="813" t="str">
        <f t="shared" si="5"/>
        <v>----</v>
      </c>
      <c r="I24" s="859"/>
      <c r="J24" s="814" t="str">
        <f t="shared" si="6"/>
        <v>----</v>
      </c>
    </row>
    <row r="25" spans="1:10" s="786" customFormat="1">
      <c r="A25" s="273"/>
      <c r="B25" s="274"/>
      <c r="C25" s="856"/>
      <c r="D25" s="857"/>
      <c r="E25" s="858"/>
      <c r="F25" s="813" t="str">
        <f t="shared" si="4"/>
        <v>----</v>
      </c>
      <c r="G25" s="858"/>
      <c r="H25" s="813" t="str">
        <f t="shared" si="5"/>
        <v>----</v>
      </c>
      <c r="I25" s="859"/>
      <c r="J25" s="814" t="str">
        <f t="shared" si="6"/>
        <v>----</v>
      </c>
    </row>
    <row r="26" spans="1:10" s="786" customFormat="1">
      <c r="A26" s="273"/>
      <c r="B26" s="274"/>
      <c r="C26" s="856"/>
      <c r="D26" s="857"/>
      <c r="E26" s="858"/>
      <c r="F26" s="813" t="str">
        <f t="shared" si="4"/>
        <v>----</v>
      </c>
      <c r="G26" s="858"/>
      <c r="H26" s="813" t="str">
        <f t="shared" si="5"/>
        <v>----</v>
      </c>
      <c r="I26" s="859"/>
      <c r="J26" s="814" t="str">
        <f t="shared" si="6"/>
        <v>----</v>
      </c>
    </row>
    <row r="27" spans="1:10" s="786" customFormat="1">
      <c r="A27" s="273"/>
      <c r="B27" s="274"/>
      <c r="C27" s="856"/>
      <c r="D27" s="857"/>
      <c r="E27" s="858"/>
      <c r="F27" s="813" t="str">
        <f t="shared" si="4"/>
        <v>----</v>
      </c>
      <c r="G27" s="858"/>
      <c r="H27" s="813" t="str">
        <f t="shared" si="5"/>
        <v>----</v>
      </c>
      <c r="I27" s="859"/>
      <c r="J27" s="814" t="str">
        <f t="shared" si="6"/>
        <v>----</v>
      </c>
    </row>
    <row r="28" spans="1:10">
      <c r="A28" s="123"/>
      <c r="B28" s="124"/>
      <c r="C28" s="732"/>
      <c r="D28" s="749"/>
      <c r="E28" s="770"/>
      <c r="F28" s="813" t="str">
        <f t="shared" si="2"/>
        <v>----</v>
      </c>
      <c r="G28" s="770"/>
      <c r="H28" s="813" t="str">
        <f t="shared" si="0"/>
        <v>----</v>
      </c>
      <c r="I28" s="771"/>
      <c r="J28" s="814" t="str">
        <f t="shared" si="1"/>
        <v>----</v>
      </c>
    </row>
    <row r="29" spans="1:10" ht="15.75" thickBot="1">
      <c r="A29" s="74"/>
      <c r="B29" s="75"/>
      <c r="C29" s="789"/>
      <c r="D29" s="796"/>
      <c r="E29" s="802"/>
      <c r="F29" s="807" t="str">
        <f t="shared" si="2"/>
        <v>----</v>
      </c>
      <c r="G29" s="802"/>
      <c r="H29" s="807" t="str">
        <f t="shared" si="0"/>
        <v>----</v>
      </c>
      <c r="I29" s="799"/>
      <c r="J29" s="808" t="str">
        <f t="shared" si="1"/>
        <v>----</v>
      </c>
    </row>
    <row r="30" spans="1:10" ht="15.75" thickBot="1">
      <c r="A30" s="27"/>
      <c r="B30" s="27"/>
      <c r="C30" s="820"/>
      <c r="D30" s="820"/>
      <c r="E30" s="820"/>
      <c r="F30" s="821">
        <f>SUM(F4:F29)</f>
        <v>5944.9200000000419</v>
      </c>
      <c r="G30" s="820"/>
      <c r="H30" s="821">
        <f>SUM(H4:H29)</f>
        <v>37610.315000000017</v>
      </c>
      <c r="I30" s="820"/>
      <c r="J30" s="821">
        <f>SUM(J4:J29)</f>
        <v>0</v>
      </c>
    </row>
    <row r="31" spans="1:10">
      <c r="C31" s="725"/>
      <c r="D31" s="725"/>
      <c r="E31" s="725"/>
      <c r="F31" s="725"/>
      <c r="G31" s="725"/>
      <c r="H31" s="725"/>
      <c r="I31" s="725"/>
      <c r="J31" s="725"/>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4" bestFit="1" customWidth="1"/>
    <col min="6" max="6" width="13.42578125" style="434" customWidth="1"/>
    <col min="7" max="7" width="11.42578125" style="434" bestFit="1" customWidth="1"/>
    <col min="8" max="8" width="13.42578125" style="434" customWidth="1"/>
    <col min="9" max="9" width="11.42578125" bestFit="1" customWidth="1"/>
    <col min="10" max="10" width="13.42578125" customWidth="1"/>
  </cols>
  <sheetData>
    <row r="1" spans="1:10" ht="15.75" thickBot="1">
      <c r="A1" s="958" t="s">
        <v>213</v>
      </c>
      <c r="B1" s="959"/>
      <c r="C1" s="959"/>
      <c r="D1" s="959"/>
      <c r="E1" s="959"/>
      <c r="F1" s="959"/>
      <c r="G1" s="959"/>
      <c r="H1" s="959"/>
      <c r="I1" s="959"/>
      <c r="J1" s="960"/>
    </row>
    <row r="2" spans="1:10" s="434" customFormat="1" ht="15" customHeight="1">
      <c r="A2" s="965" t="s">
        <v>110</v>
      </c>
      <c r="B2" s="967" t="s">
        <v>111</v>
      </c>
      <c r="C2" s="967" t="s">
        <v>112</v>
      </c>
      <c r="D2" s="969" t="s">
        <v>120</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43879</v>
      </c>
      <c r="B4" s="71" t="s">
        <v>388</v>
      </c>
      <c r="C4" s="72">
        <v>328910.75</v>
      </c>
      <c r="D4" s="431">
        <f t="shared" ref="D4:D9" si="0">C4</f>
        <v>328910.75</v>
      </c>
      <c r="E4" s="471">
        <v>329088.71000000002</v>
      </c>
      <c r="F4" s="472">
        <f>IF(ISBLANK(E4),"----",E4-$D4)</f>
        <v>177.96000000002095</v>
      </c>
      <c r="G4" s="471" t="s">
        <v>703</v>
      </c>
      <c r="H4" s="472" t="str">
        <f t="shared" ref="H4:H20" si="1">IF(OR(G4="Complete",ISBLANK(G4)),"----",G4-$D4)</f>
        <v>----</v>
      </c>
      <c r="I4" s="481" t="s">
        <v>703</v>
      </c>
      <c r="J4" s="73" t="str">
        <f t="shared" ref="J4:J20" si="2">IF(OR(I4="Complete",ISBLANK(I4)),"----",I4-$D4)</f>
        <v>----</v>
      </c>
    </row>
    <row r="5" spans="1:10">
      <c r="A5" s="88">
        <v>44243</v>
      </c>
      <c r="B5" s="101" t="s">
        <v>389</v>
      </c>
      <c r="C5" s="82">
        <v>1124957.78</v>
      </c>
      <c r="D5" s="433">
        <f t="shared" si="0"/>
        <v>1124957.78</v>
      </c>
      <c r="E5" s="473">
        <v>1136870.06</v>
      </c>
      <c r="F5" s="474">
        <f t="shared" ref="F5:F20" si="3">IF(ISBLANK(E5),"----",E5-$D5)</f>
        <v>11912.280000000028</v>
      </c>
      <c r="G5" s="473" t="s">
        <v>703</v>
      </c>
      <c r="H5" s="474" t="str">
        <f t="shared" si="1"/>
        <v>----</v>
      </c>
      <c r="I5" s="486" t="s">
        <v>703</v>
      </c>
      <c r="J5" s="83" t="str">
        <f t="shared" si="2"/>
        <v>----</v>
      </c>
    </row>
    <row r="6" spans="1:10">
      <c r="A6" s="102">
        <v>44243</v>
      </c>
      <c r="B6" s="103" t="s">
        <v>390</v>
      </c>
      <c r="C6" s="87">
        <v>415071.74</v>
      </c>
      <c r="D6" s="468">
        <f t="shared" si="0"/>
        <v>415071.74</v>
      </c>
      <c r="E6" s="475">
        <v>415288.15</v>
      </c>
      <c r="F6" s="474">
        <f t="shared" si="3"/>
        <v>216.4100000000326</v>
      </c>
      <c r="G6" s="475" t="s">
        <v>703</v>
      </c>
      <c r="H6" s="474" t="str">
        <f t="shared" si="1"/>
        <v>----</v>
      </c>
      <c r="I6" s="488" t="s">
        <v>703</v>
      </c>
      <c r="J6" s="83" t="str">
        <f t="shared" si="2"/>
        <v>----</v>
      </c>
    </row>
    <row r="7" spans="1:10">
      <c r="A7" s="102">
        <v>44880</v>
      </c>
      <c r="B7" s="103" t="s">
        <v>584</v>
      </c>
      <c r="C7" s="87">
        <v>809573.8</v>
      </c>
      <c r="D7" s="468">
        <f t="shared" si="0"/>
        <v>809573.8</v>
      </c>
      <c r="E7" s="475"/>
      <c r="F7" s="474" t="str">
        <f t="shared" si="3"/>
        <v>----</v>
      </c>
      <c r="G7" s="475">
        <v>813133.24</v>
      </c>
      <c r="H7" s="474">
        <f t="shared" si="1"/>
        <v>3559.4399999999441</v>
      </c>
      <c r="I7" s="792" t="s">
        <v>703</v>
      </c>
      <c r="J7" s="83" t="str">
        <f t="shared" si="2"/>
        <v>----</v>
      </c>
    </row>
    <row r="8" spans="1:10">
      <c r="A8" s="102">
        <v>45279</v>
      </c>
      <c r="B8" s="103" t="s">
        <v>687</v>
      </c>
      <c r="C8" s="87">
        <v>1051193.58</v>
      </c>
      <c r="D8" s="468">
        <f t="shared" si="0"/>
        <v>1051193.58</v>
      </c>
      <c r="E8" s="475"/>
      <c r="F8" s="474" t="str">
        <f t="shared" si="3"/>
        <v>----</v>
      </c>
      <c r="G8" s="475"/>
      <c r="H8" s="474" t="str">
        <f t="shared" si="1"/>
        <v>----</v>
      </c>
      <c r="I8" s="488"/>
      <c r="J8" s="83" t="str">
        <f t="shared" si="2"/>
        <v>----</v>
      </c>
    </row>
    <row r="9" spans="1:10">
      <c r="A9" s="102">
        <v>45615</v>
      </c>
      <c r="B9" s="452" t="s">
        <v>783</v>
      </c>
      <c r="C9" s="372">
        <v>495774.71</v>
      </c>
      <c r="D9" s="565">
        <f t="shared" si="0"/>
        <v>495774.71</v>
      </c>
      <c r="E9" s="475"/>
      <c r="F9" s="474" t="str">
        <f t="shared" si="3"/>
        <v>----</v>
      </c>
      <c r="G9" s="475"/>
      <c r="H9" s="474" t="str">
        <f t="shared" si="1"/>
        <v>----</v>
      </c>
      <c r="I9" s="488"/>
      <c r="J9" s="83" t="str">
        <f t="shared" si="2"/>
        <v>----</v>
      </c>
    </row>
    <row r="10" spans="1:10">
      <c r="A10" s="102"/>
      <c r="B10" s="103"/>
      <c r="C10" s="372"/>
      <c r="D10" s="565"/>
      <c r="E10" s="475"/>
      <c r="F10" s="474" t="str">
        <f t="shared" si="3"/>
        <v>----</v>
      </c>
      <c r="G10" s="475"/>
      <c r="H10" s="474" t="str">
        <f t="shared" si="1"/>
        <v>----</v>
      </c>
      <c r="I10" s="488"/>
      <c r="J10" s="83" t="str">
        <f t="shared" si="2"/>
        <v>----</v>
      </c>
    </row>
    <row r="11" spans="1:10">
      <c r="A11" s="102"/>
      <c r="B11" s="103"/>
      <c r="C11" s="372"/>
      <c r="D11" s="565"/>
      <c r="E11" s="475"/>
      <c r="F11" s="474" t="str">
        <f t="shared" si="3"/>
        <v>----</v>
      </c>
      <c r="G11" s="475"/>
      <c r="H11" s="474" t="str">
        <f t="shared" si="1"/>
        <v>----</v>
      </c>
      <c r="I11" s="488"/>
      <c r="J11" s="83" t="str">
        <f t="shared" si="2"/>
        <v>----</v>
      </c>
    </row>
    <row r="12" spans="1:10">
      <c r="A12" s="102"/>
      <c r="B12" s="103"/>
      <c r="C12" s="372"/>
      <c r="D12" s="565"/>
      <c r="E12" s="475"/>
      <c r="F12" s="474" t="str">
        <f t="shared" si="3"/>
        <v>----</v>
      </c>
      <c r="G12" s="475"/>
      <c r="H12" s="474" t="str">
        <f t="shared" si="1"/>
        <v>----</v>
      </c>
      <c r="I12" s="488"/>
      <c r="J12" s="83" t="str">
        <f t="shared" si="2"/>
        <v>----</v>
      </c>
    </row>
    <row r="13" spans="1:10">
      <c r="A13" s="102"/>
      <c r="B13" s="103"/>
      <c r="C13" s="372"/>
      <c r="D13" s="565"/>
      <c r="E13" s="475"/>
      <c r="F13" s="474" t="str">
        <f t="shared" si="3"/>
        <v>----</v>
      </c>
      <c r="G13" s="475"/>
      <c r="H13" s="474" t="str">
        <f t="shared" si="1"/>
        <v>----</v>
      </c>
      <c r="I13" s="488"/>
      <c r="J13" s="83" t="str">
        <f t="shared" si="2"/>
        <v>----</v>
      </c>
    </row>
    <row r="14" spans="1:10">
      <c r="A14" s="102"/>
      <c r="B14" s="103"/>
      <c r="C14" s="372"/>
      <c r="D14" s="565"/>
      <c r="E14" s="475"/>
      <c r="F14" s="474" t="str">
        <f t="shared" si="3"/>
        <v>----</v>
      </c>
      <c r="G14" s="475"/>
      <c r="H14" s="474" t="str">
        <f t="shared" si="1"/>
        <v>----</v>
      </c>
      <c r="I14" s="488"/>
      <c r="J14" s="83" t="str">
        <f t="shared" si="2"/>
        <v>----</v>
      </c>
    </row>
    <row r="15" spans="1:10">
      <c r="A15" s="102"/>
      <c r="B15" s="103"/>
      <c r="C15" s="372"/>
      <c r="D15" s="565"/>
      <c r="E15" s="475"/>
      <c r="F15" s="474" t="str">
        <f t="shared" si="3"/>
        <v>----</v>
      </c>
      <c r="G15" s="475"/>
      <c r="H15" s="474" t="str">
        <f t="shared" si="1"/>
        <v>----</v>
      </c>
      <c r="I15" s="488"/>
      <c r="J15" s="83" t="str">
        <f t="shared" si="2"/>
        <v>----</v>
      </c>
    </row>
    <row r="16" spans="1:10">
      <c r="A16" s="102"/>
      <c r="B16" s="103"/>
      <c r="C16" s="372"/>
      <c r="D16" s="565"/>
      <c r="E16" s="475"/>
      <c r="F16" s="474" t="str">
        <f t="shared" si="3"/>
        <v>----</v>
      </c>
      <c r="G16" s="475"/>
      <c r="H16" s="474" t="str">
        <f t="shared" si="1"/>
        <v>----</v>
      </c>
      <c r="I16" s="488"/>
      <c r="J16" s="83" t="str">
        <f t="shared" si="2"/>
        <v>----</v>
      </c>
    </row>
    <row r="17" spans="1:10">
      <c r="A17" s="102"/>
      <c r="B17" s="103"/>
      <c r="C17" s="372"/>
      <c r="D17" s="565"/>
      <c r="E17" s="475"/>
      <c r="F17" s="474" t="str">
        <f t="shared" si="3"/>
        <v>----</v>
      </c>
      <c r="G17" s="475"/>
      <c r="H17" s="474" t="str">
        <f t="shared" si="1"/>
        <v>----</v>
      </c>
      <c r="I17" s="488"/>
      <c r="J17" s="83" t="str">
        <f t="shared" si="2"/>
        <v>----</v>
      </c>
    </row>
    <row r="18" spans="1:10">
      <c r="A18" s="102"/>
      <c r="B18" s="103"/>
      <c r="C18" s="372"/>
      <c r="D18" s="565"/>
      <c r="E18" s="475"/>
      <c r="F18" s="474" t="str">
        <f t="shared" si="3"/>
        <v>----</v>
      </c>
      <c r="G18" s="475"/>
      <c r="H18" s="474" t="str">
        <f t="shared" si="1"/>
        <v>----</v>
      </c>
      <c r="I18" s="488"/>
      <c r="J18" s="83" t="str">
        <f t="shared" si="2"/>
        <v>----</v>
      </c>
    </row>
    <row r="19" spans="1:10">
      <c r="A19" s="116"/>
      <c r="B19" s="117"/>
      <c r="C19" s="608"/>
      <c r="D19" s="609"/>
      <c r="E19" s="476"/>
      <c r="F19" s="474" t="str">
        <f t="shared" si="3"/>
        <v>----</v>
      </c>
      <c r="G19" s="476"/>
      <c r="H19" s="474" t="str">
        <f t="shared" si="1"/>
        <v>----</v>
      </c>
      <c r="I19" s="490"/>
      <c r="J19" s="83" t="str">
        <f t="shared" si="2"/>
        <v>----</v>
      </c>
    </row>
    <row r="20" spans="1:10" ht="15.75" thickBot="1">
      <c r="A20" s="74"/>
      <c r="B20" s="75"/>
      <c r="C20" s="375"/>
      <c r="D20" s="529"/>
      <c r="E20" s="477"/>
      <c r="F20" s="478" t="str">
        <f t="shared" si="3"/>
        <v>----</v>
      </c>
      <c r="G20" s="477"/>
      <c r="H20" s="478" t="str">
        <f t="shared" si="1"/>
        <v>----</v>
      </c>
      <c r="I20" s="483"/>
      <c r="J20" s="77" t="str">
        <f t="shared" si="2"/>
        <v>----</v>
      </c>
    </row>
    <row r="21" spans="1:10" ht="15.75" thickBot="1">
      <c r="A21" s="27"/>
      <c r="B21" s="27"/>
      <c r="C21" s="28"/>
      <c r="D21" s="28"/>
      <c r="E21" s="441"/>
      <c r="F21" s="443">
        <f>SUM(F4:F20)</f>
        <v>12306.650000000081</v>
      </c>
      <c r="G21" s="441"/>
      <c r="H21" s="443">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4" bestFit="1" customWidth="1"/>
    <col min="6" max="6" width="13.85546875" style="434" customWidth="1"/>
    <col min="7" max="7" width="10.140625" style="434" bestFit="1" customWidth="1"/>
    <col min="8" max="8" width="13.85546875" style="434" customWidth="1"/>
    <col min="9" max="9" width="10.140625" bestFit="1" customWidth="1"/>
    <col min="10" max="10" width="13.85546875" customWidth="1"/>
  </cols>
  <sheetData>
    <row r="1" spans="1:10" ht="15.75" thickBot="1">
      <c r="A1" s="958" t="s">
        <v>174</v>
      </c>
      <c r="B1" s="959"/>
      <c r="C1" s="959"/>
      <c r="D1" s="959"/>
      <c r="E1" s="959"/>
      <c r="F1" s="959"/>
      <c r="G1" s="959"/>
      <c r="H1" s="959"/>
      <c r="I1" s="959"/>
      <c r="J1" s="960"/>
    </row>
    <row r="2" spans="1:10" s="434" customFormat="1" ht="15" customHeight="1">
      <c r="A2" s="965" t="s">
        <v>110</v>
      </c>
      <c r="B2" s="967" t="s">
        <v>111</v>
      </c>
      <c r="C2" s="967" t="s">
        <v>112</v>
      </c>
      <c r="D2" s="969" t="s">
        <v>120</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43852</v>
      </c>
      <c r="B4" s="71" t="s">
        <v>212</v>
      </c>
      <c r="C4" s="72">
        <v>517957.05</v>
      </c>
      <c r="D4" s="431">
        <f>C4</f>
        <v>517957.05</v>
      </c>
      <c r="E4" s="471">
        <v>519777.9</v>
      </c>
      <c r="F4" s="472">
        <f>IF(ISBLANK(E4),"----",E4-$D4)</f>
        <v>1820.8500000000349</v>
      </c>
      <c r="G4" s="471" t="s">
        <v>703</v>
      </c>
      <c r="H4" s="472" t="str">
        <f t="shared" ref="H4:H23" si="0">IF(OR(G4="Complete",ISBLANK(G4)),"----",G4-$D4)</f>
        <v>----</v>
      </c>
      <c r="I4" s="481" t="s">
        <v>703</v>
      </c>
      <c r="J4" s="73" t="str">
        <f t="shared" ref="J4:J23" si="1">IF(OR(I4="Complete",ISBLANK(I4)),"----",I4-$D4)</f>
        <v>----</v>
      </c>
    </row>
    <row r="5" spans="1:10">
      <c r="A5" s="88">
        <v>44306</v>
      </c>
      <c r="B5" s="101" t="s">
        <v>419</v>
      </c>
      <c r="C5" s="82">
        <v>1117034.3999999999</v>
      </c>
      <c r="D5" s="433">
        <f>C5</f>
        <v>1117034.3999999999</v>
      </c>
      <c r="E5" s="473"/>
      <c r="F5" s="474" t="s">
        <v>705</v>
      </c>
      <c r="G5" s="473"/>
      <c r="H5" s="474" t="str">
        <f t="shared" si="0"/>
        <v>----</v>
      </c>
      <c r="I5" s="486"/>
      <c r="J5" s="83" t="str">
        <f t="shared" si="1"/>
        <v>----</v>
      </c>
    </row>
    <row r="6" spans="1:10">
      <c r="A6" s="102">
        <v>45615</v>
      </c>
      <c r="B6" s="452" t="s">
        <v>780</v>
      </c>
      <c r="C6" s="372">
        <v>586206.17000000004</v>
      </c>
      <c r="D6" s="506">
        <f>C6</f>
        <v>586206.17000000004</v>
      </c>
      <c r="E6" s="475"/>
      <c r="F6" s="487" t="str">
        <f t="shared" ref="F6:F23" si="2">IF(ISBLANK(E6),"----",E6-$D6)</f>
        <v>----</v>
      </c>
      <c r="G6" s="475"/>
      <c r="H6" s="487" t="str">
        <f t="shared" si="0"/>
        <v>----</v>
      </c>
      <c r="I6" s="488"/>
      <c r="J6" s="115" t="str">
        <f t="shared" si="1"/>
        <v>----</v>
      </c>
    </row>
    <row r="7" spans="1:10">
      <c r="A7" s="102"/>
      <c r="B7" s="103"/>
      <c r="C7" s="372"/>
      <c r="D7" s="565"/>
      <c r="E7" s="475"/>
      <c r="F7" s="487" t="str">
        <f t="shared" si="2"/>
        <v>----</v>
      </c>
      <c r="G7" s="475"/>
      <c r="H7" s="487" t="str">
        <f t="shared" si="0"/>
        <v>----</v>
      </c>
      <c r="I7" s="488"/>
      <c r="J7" s="115" t="str">
        <f t="shared" si="1"/>
        <v>----</v>
      </c>
    </row>
    <row r="8" spans="1:10">
      <c r="A8" s="102"/>
      <c r="B8" s="103"/>
      <c r="C8" s="372"/>
      <c r="D8" s="565"/>
      <c r="E8" s="475"/>
      <c r="F8" s="487" t="str">
        <f t="shared" si="2"/>
        <v>----</v>
      </c>
      <c r="G8" s="475"/>
      <c r="H8" s="487" t="str">
        <f t="shared" si="0"/>
        <v>----</v>
      </c>
      <c r="I8" s="488"/>
      <c r="J8" s="115" t="str">
        <f t="shared" si="1"/>
        <v>----</v>
      </c>
    </row>
    <row r="9" spans="1:10">
      <c r="A9" s="102"/>
      <c r="B9" s="103"/>
      <c r="C9" s="372"/>
      <c r="D9" s="565"/>
      <c r="E9" s="475"/>
      <c r="F9" s="487" t="str">
        <f t="shared" si="2"/>
        <v>----</v>
      </c>
      <c r="G9" s="475"/>
      <c r="H9" s="487" t="str">
        <f t="shared" si="0"/>
        <v>----</v>
      </c>
      <c r="I9" s="488"/>
      <c r="J9" s="115" t="str">
        <f t="shared" si="1"/>
        <v>----</v>
      </c>
    </row>
    <row r="10" spans="1:10">
      <c r="A10" s="102"/>
      <c r="B10" s="103"/>
      <c r="C10" s="372"/>
      <c r="D10" s="565"/>
      <c r="E10" s="475"/>
      <c r="F10" s="487" t="str">
        <f t="shared" si="2"/>
        <v>----</v>
      </c>
      <c r="G10" s="475"/>
      <c r="H10" s="487" t="str">
        <f t="shared" si="0"/>
        <v>----</v>
      </c>
      <c r="I10" s="488"/>
      <c r="J10" s="115" t="str">
        <f t="shared" si="1"/>
        <v>----</v>
      </c>
    </row>
    <row r="11" spans="1:10">
      <c r="A11" s="102"/>
      <c r="B11" s="103"/>
      <c r="C11" s="372"/>
      <c r="D11" s="565"/>
      <c r="E11" s="475"/>
      <c r="F11" s="487" t="str">
        <f t="shared" si="2"/>
        <v>----</v>
      </c>
      <c r="G11" s="475"/>
      <c r="H11" s="487" t="str">
        <f t="shared" si="0"/>
        <v>----</v>
      </c>
      <c r="I11" s="488"/>
      <c r="J11" s="115" t="str">
        <f t="shared" si="1"/>
        <v>----</v>
      </c>
    </row>
    <row r="12" spans="1:10">
      <c r="A12" s="102"/>
      <c r="B12" s="103"/>
      <c r="C12" s="372"/>
      <c r="D12" s="565"/>
      <c r="E12" s="475"/>
      <c r="F12" s="487" t="str">
        <f t="shared" si="2"/>
        <v>----</v>
      </c>
      <c r="G12" s="475"/>
      <c r="H12" s="487" t="str">
        <f t="shared" si="0"/>
        <v>----</v>
      </c>
      <c r="I12" s="488"/>
      <c r="J12" s="115" t="str">
        <f t="shared" si="1"/>
        <v>----</v>
      </c>
    </row>
    <row r="13" spans="1:10">
      <c r="A13" s="102"/>
      <c r="B13" s="103"/>
      <c r="C13" s="372"/>
      <c r="D13" s="565"/>
      <c r="E13" s="475"/>
      <c r="F13" s="487" t="str">
        <f t="shared" si="2"/>
        <v>----</v>
      </c>
      <c r="G13" s="475"/>
      <c r="H13" s="487" t="str">
        <f t="shared" si="0"/>
        <v>----</v>
      </c>
      <c r="I13" s="488"/>
      <c r="J13" s="115" t="str">
        <f t="shared" si="1"/>
        <v>----</v>
      </c>
    </row>
    <row r="14" spans="1:10">
      <c r="A14" s="102"/>
      <c r="B14" s="103"/>
      <c r="C14" s="372"/>
      <c r="D14" s="565"/>
      <c r="E14" s="475"/>
      <c r="F14" s="487" t="str">
        <f t="shared" si="2"/>
        <v>----</v>
      </c>
      <c r="G14" s="475"/>
      <c r="H14" s="487" t="str">
        <f t="shared" si="0"/>
        <v>----</v>
      </c>
      <c r="I14" s="488"/>
      <c r="J14" s="115" t="str">
        <f t="shared" si="1"/>
        <v>----</v>
      </c>
    </row>
    <row r="15" spans="1:10">
      <c r="A15" s="102"/>
      <c r="B15" s="103"/>
      <c r="C15" s="372"/>
      <c r="D15" s="565"/>
      <c r="E15" s="475"/>
      <c r="F15" s="487" t="str">
        <f t="shared" si="2"/>
        <v>----</v>
      </c>
      <c r="G15" s="475"/>
      <c r="H15" s="487" t="str">
        <f t="shared" si="0"/>
        <v>----</v>
      </c>
      <c r="I15" s="488"/>
      <c r="J15" s="115" t="str">
        <f t="shared" si="1"/>
        <v>----</v>
      </c>
    </row>
    <row r="16" spans="1:10">
      <c r="A16" s="102"/>
      <c r="B16" s="103"/>
      <c r="C16" s="372"/>
      <c r="D16" s="565"/>
      <c r="E16" s="475"/>
      <c r="F16" s="487" t="str">
        <f t="shared" si="2"/>
        <v>----</v>
      </c>
      <c r="G16" s="475"/>
      <c r="H16" s="487" t="str">
        <f t="shared" si="0"/>
        <v>----</v>
      </c>
      <c r="I16" s="488"/>
      <c r="J16" s="115" t="str">
        <f t="shared" si="1"/>
        <v>----</v>
      </c>
    </row>
    <row r="17" spans="1:10">
      <c r="A17" s="102"/>
      <c r="B17" s="103"/>
      <c r="C17" s="372"/>
      <c r="D17" s="565"/>
      <c r="E17" s="475"/>
      <c r="F17" s="487" t="str">
        <f t="shared" si="2"/>
        <v>----</v>
      </c>
      <c r="G17" s="475"/>
      <c r="H17" s="487" t="str">
        <f t="shared" si="0"/>
        <v>----</v>
      </c>
      <c r="I17" s="488"/>
      <c r="J17" s="115" t="str">
        <f t="shared" si="1"/>
        <v>----</v>
      </c>
    </row>
    <row r="18" spans="1:10">
      <c r="A18" s="102"/>
      <c r="B18" s="103"/>
      <c r="C18" s="372"/>
      <c r="D18" s="565"/>
      <c r="E18" s="475"/>
      <c r="F18" s="487" t="str">
        <f t="shared" si="2"/>
        <v>----</v>
      </c>
      <c r="G18" s="475"/>
      <c r="H18" s="487" t="str">
        <f t="shared" si="0"/>
        <v>----</v>
      </c>
      <c r="I18" s="488"/>
      <c r="J18" s="115" t="str">
        <f t="shared" si="1"/>
        <v>----</v>
      </c>
    </row>
    <row r="19" spans="1:10">
      <c r="A19" s="102"/>
      <c r="B19" s="103"/>
      <c r="C19" s="372"/>
      <c r="D19" s="565"/>
      <c r="E19" s="475"/>
      <c r="F19" s="487" t="str">
        <f t="shared" si="2"/>
        <v>----</v>
      </c>
      <c r="G19" s="475"/>
      <c r="H19" s="487" t="str">
        <f t="shared" si="0"/>
        <v>----</v>
      </c>
      <c r="I19" s="488"/>
      <c r="J19" s="115" t="str">
        <f t="shared" si="1"/>
        <v>----</v>
      </c>
    </row>
    <row r="20" spans="1:10">
      <c r="A20" s="102"/>
      <c r="B20" s="103"/>
      <c r="C20" s="372"/>
      <c r="D20" s="565"/>
      <c r="E20" s="475"/>
      <c r="F20" s="487" t="str">
        <f t="shared" si="2"/>
        <v>----</v>
      </c>
      <c r="G20" s="475"/>
      <c r="H20" s="487" t="str">
        <f t="shared" si="0"/>
        <v>----</v>
      </c>
      <c r="I20" s="488"/>
      <c r="J20" s="115" t="str">
        <f t="shared" si="1"/>
        <v>----</v>
      </c>
    </row>
    <row r="21" spans="1:10">
      <c r="A21" s="102"/>
      <c r="B21" s="103"/>
      <c r="C21" s="372"/>
      <c r="D21" s="565"/>
      <c r="E21" s="475"/>
      <c r="F21" s="487" t="str">
        <f t="shared" si="2"/>
        <v>----</v>
      </c>
      <c r="G21" s="475"/>
      <c r="H21" s="487" t="str">
        <f t="shared" si="0"/>
        <v>----</v>
      </c>
      <c r="I21" s="488"/>
      <c r="J21" s="115" t="str">
        <f t="shared" si="1"/>
        <v>----</v>
      </c>
    </row>
    <row r="22" spans="1:10">
      <c r="A22" s="116"/>
      <c r="B22" s="117"/>
      <c r="C22" s="608"/>
      <c r="D22" s="609"/>
      <c r="E22" s="476"/>
      <c r="F22" s="489" t="str">
        <f t="shared" si="2"/>
        <v>----</v>
      </c>
      <c r="G22" s="476"/>
      <c r="H22" s="489" t="str">
        <f t="shared" si="0"/>
        <v>----</v>
      </c>
      <c r="I22" s="490"/>
      <c r="J22" s="119" t="str">
        <f t="shared" si="1"/>
        <v>----</v>
      </c>
    </row>
    <row r="23" spans="1:10" ht="15.75" thickBot="1">
      <c r="A23" s="74"/>
      <c r="B23" s="75"/>
      <c r="C23" s="375"/>
      <c r="D23" s="529"/>
      <c r="E23" s="477"/>
      <c r="F23" s="478" t="str">
        <f t="shared" si="2"/>
        <v>----</v>
      </c>
      <c r="G23" s="477"/>
      <c r="H23" s="478" t="str">
        <f t="shared" si="0"/>
        <v>----</v>
      </c>
      <c r="I23" s="483"/>
      <c r="J23" s="77" t="str">
        <f t="shared" si="1"/>
        <v>----</v>
      </c>
    </row>
    <row r="24" spans="1:10" ht="15.75" thickBot="1">
      <c r="A24" s="27"/>
      <c r="B24" s="27"/>
      <c r="C24" s="28"/>
      <c r="D24" s="28"/>
      <c r="E24" s="441"/>
      <c r="F24" s="443">
        <f>SUM(F4:F23)</f>
        <v>1820.8500000000349</v>
      </c>
      <c r="G24" s="441"/>
      <c r="H24" s="443">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4" bestFit="1" customWidth="1"/>
    <col min="6" max="6" width="13" style="434" customWidth="1"/>
    <col min="7" max="7" width="10.140625" style="434" bestFit="1" customWidth="1"/>
    <col min="8" max="8" width="13" style="434" customWidth="1"/>
    <col min="9" max="9" width="10.140625" bestFit="1" customWidth="1"/>
    <col min="10" max="10" width="13" customWidth="1"/>
  </cols>
  <sheetData>
    <row r="1" spans="1:11" ht="15.75" thickBot="1">
      <c r="A1" s="958" t="s">
        <v>150</v>
      </c>
      <c r="B1" s="959"/>
      <c r="C1" s="959"/>
      <c r="D1" s="959"/>
      <c r="E1" s="959"/>
      <c r="F1" s="959"/>
      <c r="G1" s="959"/>
      <c r="H1" s="959"/>
      <c r="I1" s="959"/>
      <c r="J1" s="960"/>
    </row>
    <row r="2" spans="1:11" s="434" customFormat="1" ht="15" customHeight="1">
      <c r="A2" s="965" t="s">
        <v>110</v>
      </c>
      <c r="B2" s="967" t="s">
        <v>111</v>
      </c>
      <c r="C2" s="967" t="s">
        <v>112</v>
      </c>
      <c r="D2" s="969" t="s">
        <v>120</v>
      </c>
      <c r="E2" s="963" t="s">
        <v>701</v>
      </c>
      <c r="F2" s="964"/>
      <c r="G2" s="963" t="s">
        <v>702</v>
      </c>
      <c r="H2" s="964"/>
      <c r="I2" s="938" t="s">
        <v>796</v>
      </c>
      <c r="J2" s="939"/>
    </row>
    <row r="3" spans="1:11" ht="46.5" thickBot="1">
      <c r="A3" s="966"/>
      <c r="B3" s="968"/>
      <c r="C3" s="968"/>
      <c r="D3" s="970"/>
      <c r="E3" s="462" t="s">
        <v>121</v>
      </c>
      <c r="F3" s="470" t="s">
        <v>704</v>
      </c>
      <c r="G3" s="462" t="s">
        <v>121</v>
      </c>
      <c r="H3" s="470" t="s">
        <v>704</v>
      </c>
      <c r="I3" s="480" t="s">
        <v>121</v>
      </c>
      <c r="J3" s="25" t="s">
        <v>704</v>
      </c>
    </row>
    <row r="4" spans="1:11">
      <c r="A4" s="70">
        <v>43816</v>
      </c>
      <c r="B4" s="71" t="s">
        <v>171</v>
      </c>
      <c r="C4" s="72">
        <v>420135.7</v>
      </c>
      <c r="D4" s="431">
        <f>C4</f>
        <v>420135.7</v>
      </c>
      <c r="E4" s="471">
        <v>421970.31</v>
      </c>
      <c r="F4" s="472">
        <f>IF(ISBLANK(E4),"----",E4-$D4)</f>
        <v>1834.609999999986</v>
      </c>
      <c r="G4" s="471" t="s">
        <v>703</v>
      </c>
      <c r="H4" s="472" t="str">
        <f t="shared" ref="H4:H22" si="0">IF(OR(G4="Complete",ISBLANK(G4)),"----",G4-$D4)</f>
        <v>----</v>
      </c>
      <c r="I4" s="481" t="s">
        <v>703</v>
      </c>
      <c r="J4" s="73" t="str">
        <f t="shared" ref="J4:J22" si="1">IF(OR(I4="Complete",ISBLANK(I4)),"----",I4-$D4)</f>
        <v>----</v>
      </c>
    </row>
    <row r="5" spans="1:11">
      <c r="A5" s="88">
        <v>44216</v>
      </c>
      <c r="B5" s="101" t="s">
        <v>369</v>
      </c>
      <c r="C5" s="82">
        <v>726545.05</v>
      </c>
      <c r="D5" s="433">
        <v>300509.05</v>
      </c>
      <c r="E5" s="473">
        <v>293172.01</v>
      </c>
      <c r="F5" s="489">
        <f t="shared" ref="F5:F22" si="2">IF(ISBLANK(E5),"----",E5-$D5)</f>
        <v>-7337.039999999979</v>
      </c>
      <c r="G5" s="473" t="s">
        <v>703</v>
      </c>
      <c r="H5" s="489" t="str">
        <f t="shared" si="0"/>
        <v>----</v>
      </c>
      <c r="I5" s="486" t="s">
        <v>703</v>
      </c>
      <c r="J5" s="119" t="str">
        <f t="shared" si="1"/>
        <v>----</v>
      </c>
    </row>
    <row r="6" spans="1:11">
      <c r="A6" s="207">
        <v>44271</v>
      </c>
      <c r="B6" s="208" t="s">
        <v>404</v>
      </c>
      <c r="C6" s="209">
        <v>1049203.5</v>
      </c>
      <c r="D6" s="499">
        <v>918115.5</v>
      </c>
      <c r="E6" s="503"/>
      <c r="F6" s="494" t="str">
        <f t="shared" si="2"/>
        <v>----</v>
      </c>
      <c r="G6" s="503"/>
      <c r="H6" s="494" t="str">
        <f t="shared" si="0"/>
        <v>----</v>
      </c>
      <c r="I6" s="501"/>
      <c r="J6" s="197" t="str">
        <f t="shared" si="1"/>
        <v>----</v>
      </c>
      <c r="K6" t="s">
        <v>415</v>
      </c>
    </row>
    <row r="7" spans="1:11">
      <c r="A7" s="219">
        <v>44397</v>
      </c>
      <c r="B7" s="220" t="s">
        <v>434</v>
      </c>
      <c r="C7" s="221">
        <f>164988.83/2</f>
        <v>82494.414999999994</v>
      </c>
      <c r="D7" s="500">
        <f>C7</f>
        <v>82494.414999999994</v>
      </c>
      <c r="E7" s="504">
        <v>75833.789999999994</v>
      </c>
      <c r="F7" s="505">
        <f t="shared" si="2"/>
        <v>-6660.625</v>
      </c>
      <c r="G7" s="504" t="s">
        <v>703</v>
      </c>
      <c r="H7" s="505" t="str">
        <f t="shared" si="0"/>
        <v>----</v>
      </c>
      <c r="I7" s="502" t="s">
        <v>703</v>
      </c>
      <c r="J7" s="222" t="str">
        <f t="shared" si="1"/>
        <v>----</v>
      </c>
      <c r="K7" t="s">
        <v>435</v>
      </c>
    </row>
    <row r="8" spans="1:11">
      <c r="A8" s="102">
        <v>44397</v>
      </c>
      <c r="B8" s="103" t="s">
        <v>404</v>
      </c>
      <c r="C8" s="87">
        <v>594321.75</v>
      </c>
      <c r="D8" s="468">
        <v>463233.75</v>
      </c>
      <c r="E8" s="475"/>
      <c r="F8" s="489" t="str">
        <f t="shared" si="2"/>
        <v>----</v>
      </c>
      <c r="G8" s="475"/>
      <c r="H8" s="489" t="str">
        <f t="shared" si="0"/>
        <v>----</v>
      </c>
      <c r="I8" s="488"/>
      <c r="J8" s="119" t="str">
        <f t="shared" si="1"/>
        <v>----</v>
      </c>
      <c r="K8" t="s">
        <v>437</v>
      </c>
    </row>
    <row r="9" spans="1:11">
      <c r="A9" s="102">
        <v>44551</v>
      </c>
      <c r="B9" s="258" t="s">
        <v>475</v>
      </c>
      <c r="C9" s="87">
        <v>618842.94999999995</v>
      </c>
      <c r="D9" s="468">
        <f>C9</f>
        <v>618842.94999999995</v>
      </c>
      <c r="E9" s="475">
        <v>625786.5</v>
      </c>
      <c r="F9" s="489">
        <f t="shared" si="2"/>
        <v>6943.5500000000466</v>
      </c>
      <c r="G9" s="475" t="s">
        <v>703</v>
      </c>
      <c r="H9" s="489" t="str">
        <f t="shared" si="0"/>
        <v>----</v>
      </c>
      <c r="I9" s="488" t="s">
        <v>703</v>
      </c>
      <c r="J9" s="119" t="str">
        <f t="shared" si="1"/>
        <v>----</v>
      </c>
    </row>
    <row r="10" spans="1:11">
      <c r="A10" s="102">
        <v>44551</v>
      </c>
      <c r="B10" s="258" t="s">
        <v>476</v>
      </c>
      <c r="C10" s="87">
        <v>453760.95</v>
      </c>
      <c r="D10" s="468">
        <f>C10</f>
        <v>453760.95</v>
      </c>
      <c r="E10" s="475">
        <v>451941.38</v>
      </c>
      <c r="F10" s="489">
        <f t="shared" si="2"/>
        <v>-1819.570000000007</v>
      </c>
      <c r="G10" s="475" t="s">
        <v>703</v>
      </c>
      <c r="H10" s="489" t="str">
        <f t="shared" si="0"/>
        <v>----</v>
      </c>
      <c r="I10" s="488" t="s">
        <v>703</v>
      </c>
      <c r="J10" s="119" t="str">
        <f t="shared" si="1"/>
        <v>----</v>
      </c>
    </row>
    <row r="11" spans="1:11">
      <c r="A11" s="102">
        <v>45279</v>
      </c>
      <c r="B11" s="103" t="s">
        <v>688</v>
      </c>
      <c r="C11" s="87">
        <v>1217493.2</v>
      </c>
      <c r="D11" s="468">
        <f>C11</f>
        <v>1217493.2</v>
      </c>
      <c r="E11" s="475"/>
      <c r="F11" s="489" t="str">
        <f t="shared" si="2"/>
        <v>----</v>
      </c>
      <c r="G11" s="475"/>
      <c r="H11" s="489" t="str">
        <f t="shared" si="0"/>
        <v>----</v>
      </c>
      <c r="I11" s="488"/>
      <c r="J11" s="119" t="str">
        <f t="shared" si="1"/>
        <v>----</v>
      </c>
    </row>
    <row r="12" spans="1:11">
      <c r="A12" s="102">
        <v>45279</v>
      </c>
      <c r="B12" s="103" t="s">
        <v>689</v>
      </c>
      <c r="C12" s="87">
        <v>614061.65</v>
      </c>
      <c r="D12" s="468">
        <f>C12</f>
        <v>614061.65</v>
      </c>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02"/>
      <c r="B16" s="103"/>
      <c r="C16" s="87"/>
      <c r="D16" s="468"/>
      <c r="E16" s="475"/>
      <c r="F16" s="489" t="str">
        <f t="shared" si="2"/>
        <v>----</v>
      </c>
      <c r="G16" s="475"/>
      <c r="H16" s="489" t="str">
        <f t="shared" si="0"/>
        <v>----</v>
      </c>
      <c r="I16" s="488"/>
      <c r="J16" s="119" t="str">
        <f t="shared" si="1"/>
        <v>----</v>
      </c>
    </row>
    <row r="17" spans="1:10">
      <c r="A17" s="102"/>
      <c r="B17" s="103"/>
      <c r="C17" s="87"/>
      <c r="D17" s="468"/>
      <c r="E17" s="475"/>
      <c r="F17" s="489" t="str">
        <f t="shared" si="2"/>
        <v>----</v>
      </c>
      <c r="G17" s="475"/>
      <c r="H17" s="489" t="str">
        <f t="shared" si="0"/>
        <v>----</v>
      </c>
      <c r="I17" s="488"/>
      <c r="J17" s="119" t="str">
        <f t="shared" si="1"/>
        <v>----</v>
      </c>
    </row>
    <row r="18" spans="1:10">
      <c r="A18" s="102"/>
      <c r="B18" s="103"/>
      <c r="C18" s="87"/>
      <c r="D18" s="468"/>
      <c r="E18" s="475"/>
      <c r="F18" s="489" t="str">
        <f t="shared" si="2"/>
        <v>----</v>
      </c>
      <c r="G18" s="475"/>
      <c r="H18" s="489" t="str">
        <f t="shared" si="0"/>
        <v>----</v>
      </c>
      <c r="I18" s="488"/>
      <c r="J18" s="119" t="str">
        <f t="shared" si="1"/>
        <v>----</v>
      </c>
    </row>
    <row r="19" spans="1:10">
      <c r="A19" s="102"/>
      <c r="B19" s="103"/>
      <c r="C19" s="87"/>
      <c r="D19" s="468"/>
      <c r="E19" s="475"/>
      <c r="F19" s="489" t="str">
        <f t="shared" si="2"/>
        <v>----</v>
      </c>
      <c r="G19" s="475"/>
      <c r="H19" s="489" t="str">
        <f t="shared" si="0"/>
        <v>----</v>
      </c>
      <c r="I19" s="488"/>
      <c r="J19" s="119" t="str">
        <f t="shared" si="1"/>
        <v>----</v>
      </c>
    </row>
    <row r="20" spans="1:10">
      <c r="A20" s="102"/>
      <c r="B20" s="103"/>
      <c r="C20" s="87"/>
      <c r="D20" s="468"/>
      <c r="E20" s="475"/>
      <c r="F20" s="489" t="str">
        <f t="shared" si="2"/>
        <v>----</v>
      </c>
      <c r="G20" s="475"/>
      <c r="H20" s="489" t="str">
        <f t="shared" si="0"/>
        <v>----</v>
      </c>
      <c r="I20" s="488"/>
      <c r="J20" s="119" t="str">
        <f t="shared" si="1"/>
        <v>----</v>
      </c>
    </row>
    <row r="21" spans="1:10">
      <c r="A21" s="116"/>
      <c r="B21" s="117"/>
      <c r="C21" s="118"/>
      <c r="D21" s="469"/>
      <c r="E21" s="476"/>
      <c r="F21" s="489" t="str">
        <f t="shared" si="2"/>
        <v>----</v>
      </c>
      <c r="G21" s="476"/>
      <c r="H21" s="489" t="str">
        <f t="shared" si="0"/>
        <v>----</v>
      </c>
      <c r="I21" s="490"/>
      <c r="J21" s="119"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-7039.0749999999534</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4"/>
    <col min="6" max="6" width="11.5703125" style="434" customWidth="1"/>
    <col min="7" max="7" width="9.140625" style="434"/>
    <col min="8" max="8" width="11.5703125" style="434" customWidth="1"/>
    <col min="10" max="10" width="11.5703125" customWidth="1"/>
  </cols>
  <sheetData>
    <row r="1" spans="1:10" ht="15.75" thickBot="1">
      <c r="A1" s="958" t="s">
        <v>135</v>
      </c>
      <c r="B1" s="959"/>
      <c r="C1" s="959"/>
      <c r="D1" s="959"/>
      <c r="E1" s="959"/>
      <c r="F1" s="959"/>
      <c r="G1" s="959"/>
      <c r="H1" s="959"/>
      <c r="I1" s="959"/>
      <c r="J1" s="960"/>
    </row>
    <row r="2" spans="1:10" s="434" customFormat="1" ht="15" customHeigh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43788</v>
      </c>
      <c r="B4" s="71" t="s">
        <v>149</v>
      </c>
      <c r="C4" s="787">
        <v>152983.35</v>
      </c>
      <c r="D4" s="793">
        <v>122386.68</v>
      </c>
      <c r="E4" s="800"/>
      <c r="F4" s="809" t="str">
        <f>IF(ISBLANK(E4),"----",E4-$D4)</f>
        <v>----</v>
      </c>
      <c r="G4" s="800"/>
      <c r="H4" s="809" t="str">
        <f t="shared" ref="H4:H17" si="0">IF(OR(G4="Complete",ISBLANK(G4)),"----",G4-$D4)</f>
        <v>----</v>
      </c>
      <c r="I4" s="797"/>
      <c r="J4" s="810" t="str">
        <f t="shared" ref="J4:J17" si="1">IF(OR(I4="Complete",ISBLANK(I4)),"----",I4-$D4)</f>
        <v>----</v>
      </c>
    </row>
    <row r="5" spans="1:10" s="434" customFormat="1">
      <c r="A5" s="449">
        <v>45679</v>
      </c>
      <c r="B5" s="703" t="s">
        <v>828</v>
      </c>
      <c r="C5" s="790">
        <v>609788.25</v>
      </c>
      <c r="D5" s="794">
        <f>C5</f>
        <v>609788.25</v>
      </c>
      <c r="E5" s="801"/>
      <c r="F5" s="813" t="str">
        <f t="shared" ref="F5:F15" si="2">IF(ISBLANK(E5),"----",E5-$D5)</f>
        <v>----</v>
      </c>
      <c r="G5" s="801"/>
      <c r="H5" s="813" t="str">
        <f t="shared" si="0"/>
        <v>----</v>
      </c>
      <c r="I5" s="798"/>
      <c r="J5" s="814" t="str">
        <f t="shared" si="1"/>
        <v>----</v>
      </c>
    </row>
    <row r="6" spans="1:10" s="434" customFormat="1">
      <c r="A6" s="451"/>
      <c r="B6" s="452"/>
      <c r="C6" s="776"/>
      <c r="D6" s="735"/>
      <c r="E6" s="745"/>
      <c r="F6" s="777" t="str">
        <f t="shared" si="2"/>
        <v>----</v>
      </c>
      <c r="G6" s="745"/>
      <c r="H6" s="777" t="str">
        <f t="shared" si="0"/>
        <v>----</v>
      </c>
      <c r="I6" s="740"/>
      <c r="J6" s="778" t="str">
        <f t="shared" si="1"/>
        <v>----</v>
      </c>
    </row>
    <row r="7" spans="1:10" s="434" customFormat="1">
      <c r="A7" s="451"/>
      <c r="B7" s="452"/>
      <c r="C7" s="776"/>
      <c r="D7" s="735"/>
      <c r="E7" s="745"/>
      <c r="F7" s="777" t="str">
        <f t="shared" si="2"/>
        <v>----</v>
      </c>
      <c r="G7" s="745"/>
      <c r="H7" s="777" t="str">
        <f t="shared" si="0"/>
        <v>----</v>
      </c>
      <c r="I7" s="740"/>
      <c r="J7" s="778" t="str">
        <f t="shared" si="1"/>
        <v>----</v>
      </c>
    </row>
    <row r="8" spans="1:10" s="434" customFormat="1">
      <c r="A8" s="451"/>
      <c r="B8" s="452"/>
      <c r="C8" s="776"/>
      <c r="D8" s="735"/>
      <c r="E8" s="745"/>
      <c r="F8" s="777" t="str">
        <f t="shared" si="2"/>
        <v>----</v>
      </c>
      <c r="G8" s="745"/>
      <c r="H8" s="777" t="str">
        <f t="shared" si="0"/>
        <v>----</v>
      </c>
      <c r="I8" s="740"/>
      <c r="J8" s="778" t="str">
        <f t="shared" si="1"/>
        <v>----</v>
      </c>
    </row>
    <row r="9" spans="1:10" s="434" customFormat="1">
      <c r="A9" s="451"/>
      <c r="B9" s="452"/>
      <c r="C9" s="776"/>
      <c r="D9" s="735"/>
      <c r="E9" s="745"/>
      <c r="F9" s="777" t="str">
        <f t="shared" si="2"/>
        <v>----</v>
      </c>
      <c r="G9" s="745"/>
      <c r="H9" s="777" t="str">
        <f t="shared" si="0"/>
        <v>----</v>
      </c>
      <c r="I9" s="740"/>
      <c r="J9" s="778" t="str">
        <f t="shared" si="1"/>
        <v>----</v>
      </c>
    </row>
    <row r="10" spans="1:10" s="434" customFormat="1">
      <c r="A10" s="451"/>
      <c r="B10" s="452"/>
      <c r="C10" s="776"/>
      <c r="D10" s="735"/>
      <c r="E10" s="745"/>
      <c r="F10" s="777" t="str">
        <f t="shared" si="2"/>
        <v>----</v>
      </c>
      <c r="G10" s="745"/>
      <c r="H10" s="777" t="str">
        <f t="shared" si="0"/>
        <v>----</v>
      </c>
      <c r="I10" s="740"/>
      <c r="J10" s="778" t="str">
        <f t="shared" si="1"/>
        <v>----</v>
      </c>
    </row>
    <row r="11" spans="1:10" s="434" customFormat="1">
      <c r="A11" s="451"/>
      <c r="B11" s="452"/>
      <c r="C11" s="776"/>
      <c r="D11" s="735"/>
      <c r="E11" s="745"/>
      <c r="F11" s="777" t="str">
        <f t="shared" si="2"/>
        <v>----</v>
      </c>
      <c r="G11" s="745"/>
      <c r="H11" s="777" t="str">
        <f t="shared" si="0"/>
        <v>----</v>
      </c>
      <c r="I11" s="740"/>
      <c r="J11" s="778" t="str">
        <f t="shared" si="1"/>
        <v>----</v>
      </c>
    </row>
    <row r="12" spans="1:10" s="434" customFormat="1">
      <c r="A12" s="451"/>
      <c r="B12" s="452"/>
      <c r="C12" s="776"/>
      <c r="D12" s="735"/>
      <c r="E12" s="745"/>
      <c r="F12" s="777" t="str">
        <f t="shared" si="2"/>
        <v>----</v>
      </c>
      <c r="G12" s="745"/>
      <c r="H12" s="777" t="str">
        <f t="shared" si="0"/>
        <v>----</v>
      </c>
      <c r="I12" s="740"/>
      <c r="J12" s="778" t="str">
        <f t="shared" si="1"/>
        <v>----</v>
      </c>
    </row>
    <row r="13" spans="1:10" s="434" customFormat="1">
      <c r="A13" s="451"/>
      <c r="B13" s="452"/>
      <c r="C13" s="776"/>
      <c r="D13" s="735"/>
      <c r="E13" s="745"/>
      <c r="F13" s="777" t="str">
        <f t="shared" si="2"/>
        <v>----</v>
      </c>
      <c r="G13" s="745"/>
      <c r="H13" s="777" t="str">
        <f t="shared" si="0"/>
        <v>----</v>
      </c>
      <c r="I13" s="740"/>
      <c r="J13" s="778" t="str">
        <f t="shared" si="1"/>
        <v>----</v>
      </c>
    </row>
    <row r="14" spans="1:10" s="434" customFormat="1">
      <c r="A14" s="451"/>
      <c r="B14" s="452"/>
      <c r="C14" s="776"/>
      <c r="D14" s="735"/>
      <c r="E14" s="745"/>
      <c r="F14" s="777" t="str">
        <f t="shared" si="2"/>
        <v>----</v>
      </c>
      <c r="G14" s="745"/>
      <c r="H14" s="777" t="str">
        <f t="shared" si="0"/>
        <v>----</v>
      </c>
      <c r="I14" s="740"/>
      <c r="J14" s="778" t="str">
        <f t="shared" si="1"/>
        <v>----</v>
      </c>
    </row>
    <row r="15" spans="1:10" s="434" customFormat="1">
      <c r="A15" s="451"/>
      <c r="B15" s="452"/>
      <c r="C15" s="776"/>
      <c r="D15" s="735"/>
      <c r="E15" s="745"/>
      <c r="F15" s="777" t="str">
        <f t="shared" si="2"/>
        <v>----</v>
      </c>
      <c r="G15" s="745"/>
      <c r="H15" s="777" t="str">
        <f t="shared" si="0"/>
        <v>----</v>
      </c>
      <c r="I15" s="740"/>
      <c r="J15" s="778" t="str">
        <f t="shared" si="1"/>
        <v>----</v>
      </c>
    </row>
    <row r="16" spans="1:10">
      <c r="A16" s="454"/>
      <c r="B16" s="455"/>
      <c r="C16" s="779"/>
      <c r="D16" s="795"/>
      <c r="E16" s="746"/>
      <c r="F16" s="780" t="str">
        <f t="shared" ref="F16:F17" si="3">IF(ISBLANK(E16),"----",E16-$D16)</f>
        <v>----</v>
      </c>
      <c r="G16" s="746"/>
      <c r="H16" s="780" t="str">
        <f t="shared" si="0"/>
        <v>----</v>
      </c>
      <c r="I16" s="741"/>
      <c r="J16" s="781" t="str">
        <f t="shared" si="1"/>
        <v>----</v>
      </c>
    </row>
    <row r="17" spans="1:10" ht="15.75" thickBot="1">
      <c r="A17" s="74"/>
      <c r="B17" s="75"/>
      <c r="C17" s="789"/>
      <c r="D17" s="796"/>
      <c r="E17" s="802"/>
      <c r="F17" s="807" t="str">
        <f t="shared" si="3"/>
        <v>----</v>
      </c>
      <c r="G17" s="802"/>
      <c r="H17" s="807" t="str">
        <f t="shared" si="0"/>
        <v>----</v>
      </c>
      <c r="I17" s="799"/>
      <c r="J17" s="808" t="str">
        <f t="shared" si="1"/>
        <v>----</v>
      </c>
    </row>
    <row r="18" spans="1:10" ht="15.75" thickBot="1">
      <c r="A18" s="27"/>
      <c r="B18" s="27"/>
      <c r="C18" s="820"/>
      <c r="D18" s="820"/>
      <c r="E18" s="820"/>
      <c r="F18" s="821">
        <f>SUM(F4:F17)</f>
        <v>0</v>
      </c>
      <c r="G18" s="820"/>
      <c r="H18" s="821">
        <f>SUM(H4:H17)</f>
        <v>0</v>
      </c>
      <c r="I18" s="820"/>
      <c r="J18" s="821">
        <f>SUM(J4:J17)</f>
        <v>0</v>
      </c>
    </row>
    <row r="19" spans="1:10">
      <c r="A19" s="17"/>
      <c r="B19" s="17"/>
      <c r="C19" s="437"/>
      <c r="D19" s="437"/>
      <c r="E19" s="437"/>
      <c r="F19" s="437"/>
      <c r="G19" s="437"/>
      <c r="H19" s="437"/>
      <c r="I19" s="437"/>
      <c r="J19" s="437"/>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4"/>
  </cols>
  <sheetData>
    <row r="1" spans="1:10" ht="15.75" thickBot="1">
      <c r="A1" s="958" t="s">
        <v>249</v>
      </c>
      <c r="B1" s="959"/>
      <c r="C1" s="959"/>
      <c r="D1" s="959"/>
      <c r="E1" s="959"/>
      <c r="F1" s="959"/>
      <c r="G1" s="959"/>
      <c r="H1" s="959"/>
      <c r="I1" s="959"/>
      <c r="J1" s="960"/>
    </row>
    <row r="2" spans="1:10" s="434" customFormat="1" ht="15" customHeight="1">
      <c r="A2" s="965" t="s">
        <v>110</v>
      </c>
      <c r="B2" s="967" t="s">
        <v>111</v>
      </c>
      <c r="C2" s="967" t="s">
        <v>112</v>
      </c>
      <c r="D2" s="969" t="s">
        <v>120</v>
      </c>
      <c r="E2" s="963" t="s">
        <v>701</v>
      </c>
      <c r="F2" s="964"/>
      <c r="G2" s="963" t="s">
        <v>702</v>
      </c>
      <c r="H2" s="964"/>
      <c r="I2" s="938" t="s">
        <v>796</v>
      </c>
      <c r="J2" s="939"/>
    </row>
    <row r="3" spans="1:10" ht="69" thickBot="1">
      <c r="A3" s="966"/>
      <c r="B3" s="968"/>
      <c r="C3" s="968"/>
      <c r="D3" s="970"/>
      <c r="E3" s="462" t="s">
        <v>121</v>
      </c>
      <c r="F3" s="470" t="s">
        <v>704</v>
      </c>
      <c r="G3" s="462" t="s">
        <v>121</v>
      </c>
      <c r="H3" s="470" t="s">
        <v>704</v>
      </c>
      <c r="I3" s="480" t="s">
        <v>121</v>
      </c>
      <c r="J3" s="25" t="s">
        <v>704</v>
      </c>
    </row>
    <row r="4" spans="1:10">
      <c r="A4" s="70">
        <v>44789</v>
      </c>
      <c r="B4" s="71" t="s">
        <v>551</v>
      </c>
      <c r="C4" s="72">
        <v>3233933.45</v>
      </c>
      <c r="D4" s="431">
        <v>799933.45</v>
      </c>
      <c r="E4" s="471"/>
      <c r="F4" s="472" t="str">
        <f>IF(ISBLANK(E4),"----",E4-$D4)</f>
        <v>----</v>
      </c>
      <c r="G4" s="471"/>
      <c r="H4" s="472" t="str">
        <f t="shared" ref="H4:H19" si="0">IF(OR(G4="Complete",ISBLANK(G4)),"----",G4-$D4)</f>
        <v>----</v>
      </c>
      <c r="I4" s="481"/>
      <c r="J4" s="73" t="str">
        <f t="shared" ref="J4:J19" si="1">IF(OR(I4="Complete",ISBLANK(I4)),"----",I4-$D4)</f>
        <v>----</v>
      </c>
    </row>
    <row r="5" spans="1:10">
      <c r="A5" s="88">
        <v>44880</v>
      </c>
      <c r="B5" s="101" t="s">
        <v>585</v>
      </c>
      <c r="C5" s="82">
        <v>919508.1</v>
      </c>
      <c r="D5" s="433">
        <f>C5</f>
        <v>919508.1</v>
      </c>
      <c r="E5" s="473"/>
      <c r="F5" s="474" t="str">
        <f t="shared" ref="F5:F19" si="2">IF(ISBLANK(E5),"----",E5-$D5)</f>
        <v>----</v>
      </c>
      <c r="G5" s="473"/>
      <c r="H5" s="474" t="str">
        <f t="shared" si="0"/>
        <v>----</v>
      </c>
      <c r="I5" s="486"/>
      <c r="J5" s="83" t="str">
        <f t="shared" si="1"/>
        <v>----</v>
      </c>
    </row>
    <row r="6" spans="1:10">
      <c r="A6" s="102"/>
      <c r="B6" s="103"/>
      <c r="C6" s="87"/>
      <c r="D6" s="468"/>
      <c r="E6" s="475"/>
      <c r="F6" s="487" t="str">
        <f t="shared" si="2"/>
        <v>----</v>
      </c>
      <c r="G6" s="475"/>
      <c r="H6" s="487" t="str">
        <f t="shared" si="0"/>
        <v>----</v>
      </c>
      <c r="I6" s="488"/>
      <c r="J6" s="115" t="str">
        <f t="shared" si="1"/>
        <v>----</v>
      </c>
    </row>
    <row r="7" spans="1:10">
      <c r="A7" s="102"/>
      <c r="B7" s="103"/>
      <c r="C7" s="87"/>
      <c r="D7" s="468"/>
      <c r="E7" s="475"/>
      <c r="F7" s="487" t="str">
        <f t="shared" si="2"/>
        <v>----</v>
      </c>
      <c r="G7" s="475"/>
      <c r="H7" s="487" t="str">
        <f t="shared" si="0"/>
        <v>----</v>
      </c>
      <c r="I7" s="488"/>
      <c r="J7" s="115" t="str">
        <f t="shared" si="1"/>
        <v>----</v>
      </c>
    </row>
    <row r="8" spans="1:10">
      <c r="A8" s="102"/>
      <c r="B8" s="103"/>
      <c r="C8" s="87"/>
      <c r="D8" s="468"/>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16"/>
      <c r="B18" s="117"/>
      <c r="C18" s="118"/>
      <c r="D18" s="469"/>
      <c r="E18" s="476"/>
      <c r="F18" s="489" t="str">
        <f t="shared" si="2"/>
        <v>----</v>
      </c>
      <c r="G18" s="476"/>
      <c r="H18" s="489" t="str">
        <f t="shared" si="0"/>
        <v>----</v>
      </c>
      <c r="I18" s="490"/>
      <c r="J18" s="119" t="str">
        <f t="shared" si="1"/>
        <v>----</v>
      </c>
    </row>
    <row r="19" spans="1:10" ht="15.75" thickBot="1">
      <c r="A19" s="74"/>
      <c r="B19" s="75"/>
      <c r="C19" s="76"/>
      <c r="D19" s="432"/>
      <c r="E19" s="477"/>
      <c r="F19" s="478" t="str">
        <f t="shared" si="2"/>
        <v>----</v>
      </c>
      <c r="G19" s="477"/>
      <c r="H19" s="478" t="str">
        <f t="shared" si="0"/>
        <v>----</v>
      </c>
      <c r="I19" s="483"/>
      <c r="J19" s="77" t="str">
        <f t="shared" si="1"/>
        <v>----</v>
      </c>
    </row>
    <row r="20" spans="1:10" ht="15.75" thickBot="1">
      <c r="A20" s="27"/>
      <c r="B20" s="27"/>
      <c r="C20" s="28"/>
      <c r="D20" s="28"/>
      <c r="E20" s="441"/>
      <c r="F20" s="443">
        <f>SUM(F4:F19)</f>
        <v>0</v>
      </c>
      <c r="G20" s="441"/>
      <c r="H20" s="443">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4" bestFit="1" customWidth="1"/>
    <col min="6" max="6" width="9.140625" style="434"/>
    <col min="7" max="7" width="10.140625" style="434" bestFit="1" customWidth="1"/>
    <col min="8" max="8" width="9.140625" style="434"/>
    <col min="9" max="9" width="10.140625" bestFit="1" customWidth="1"/>
    <col min="12" max="12" width="13.5703125" bestFit="1" customWidth="1"/>
  </cols>
  <sheetData>
    <row r="1" spans="1:12" ht="15.75" thickBot="1">
      <c r="A1" s="958" t="s">
        <v>250</v>
      </c>
      <c r="B1" s="959"/>
      <c r="C1" s="959"/>
      <c r="D1" s="959"/>
      <c r="E1" s="959"/>
      <c r="F1" s="959"/>
      <c r="G1" s="959"/>
      <c r="H1" s="959"/>
      <c r="I1" s="959"/>
      <c r="J1" s="960"/>
    </row>
    <row r="2" spans="1:12" s="434" customFormat="1">
      <c r="A2" s="965" t="s">
        <v>110</v>
      </c>
      <c r="B2" s="967" t="s">
        <v>111</v>
      </c>
      <c r="C2" s="967" t="s">
        <v>112</v>
      </c>
      <c r="D2" s="969" t="s">
        <v>120</v>
      </c>
      <c r="E2" s="963" t="s">
        <v>701</v>
      </c>
      <c r="F2" s="964"/>
      <c r="G2" s="963" t="s">
        <v>702</v>
      </c>
      <c r="H2" s="964"/>
      <c r="I2" s="938" t="s">
        <v>796</v>
      </c>
      <c r="J2" s="939"/>
    </row>
    <row r="3" spans="1:12" ht="69" thickBot="1">
      <c r="A3" s="966"/>
      <c r="B3" s="968"/>
      <c r="C3" s="968"/>
      <c r="D3" s="970"/>
      <c r="E3" s="462" t="s">
        <v>121</v>
      </c>
      <c r="F3" s="470" t="s">
        <v>113</v>
      </c>
      <c r="G3" s="462" t="s">
        <v>121</v>
      </c>
      <c r="H3" s="470" t="s">
        <v>113</v>
      </c>
      <c r="I3" s="480" t="s">
        <v>121</v>
      </c>
      <c r="J3" s="25" t="s">
        <v>113</v>
      </c>
    </row>
    <row r="4" spans="1:12">
      <c r="A4" s="70">
        <v>44362</v>
      </c>
      <c r="B4" s="71" t="s">
        <v>430</v>
      </c>
      <c r="C4" s="787">
        <v>240757.75</v>
      </c>
      <c r="D4" s="793">
        <f>C4</f>
        <v>240757.75</v>
      </c>
      <c r="E4" s="800">
        <v>241885.75</v>
      </c>
      <c r="F4" s="809">
        <f>IF(ISBLANK(E4),"----",E4-$D4)</f>
        <v>1128</v>
      </c>
      <c r="G4" s="800" t="s">
        <v>703</v>
      </c>
      <c r="H4" s="809" t="str">
        <f t="shared" ref="H4:H17" si="0">IF(OR(G4="Complete",ISBLANK(G4)),"----",G4-$D4)</f>
        <v>----</v>
      </c>
      <c r="I4" s="797" t="s">
        <v>703</v>
      </c>
      <c r="J4" s="810" t="str">
        <f t="shared" ref="J4:J17" si="1">IF(OR(I4="Complete",ISBLANK(I4)),"----",I4-$D4)</f>
        <v>----</v>
      </c>
    </row>
    <row r="5" spans="1:12">
      <c r="A5" s="88">
        <v>44944</v>
      </c>
      <c r="B5" s="101" t="s">
        <v>622</v>
      </c>
      <c r="C5" s="790">
        <v>970630.8</v>
      </c>
      <c r="D5" s="794">
        <f>C5</f>
        <v>970630.8</v>
      </c>
      <c r="E5" s="801"/>
      <c r="F5" s="813" t="str">
        <f t="shared" ref="F5:F17" si="2">IF(ISBLANK(E5),"----",E5-$D5)</f>
        <v>----</v>
      </c>
      <c r="G5" s="801"/>
      <c r="H5" s="813" t="str">
        <f t="shared" si="0"/>
        <v>----</v>
      </c>
      <c r="I5" s="798"/>
      <c r="J5" s="814" t="str">
        <f t="shared" si="1"/>
        <v>----</v>
      </c>
    </row>
    <row r="6" spans="1:12">
      <c r="A6" s="91">
        <v>44944</v>
      </c>
      <c r="B6" s="92" t="s">
        <v>623</v>
      </c>
      <c r="C6" s="788">
        <v>475421.25</v>
      </c>
      <c r="D6" s="803">
        <f>C6</f>
        <v>475421.25</v>
      </c>
      <c r="E6" s="805"/>
      <c r="F6" s="668" t="str">
        <f t="shared" si="2"/>
        <v>----</v>
      </c>
      <c r="G6" s="805"/>
      <c r="H6" s="668" t="str">
        <f t="shared" si="0"/>
        <v>----</v>
      </c>
      <c r="I6" s="804">
        <v>478655.71</v>
      </c>
      <c r="J6" s="669">
        <f t="shared" si="1"/>
        <v>3234.460000000021</v>
      </c>
    </row>
    <row r="7" spans="1:12">
      <c r="A7" s="88">
        <v>45006</v>
      </c>
      <c r="B7" s="101" t="s">
        <v>640</v>
      </c>
      <c r="C7" s="790">
        <v>2350566.17</v>
      </c>
      <c r="D7" s="794">
        <f>C7-L7</f>
        <v>470113.23399999994</v>
      </c>
      <c r="E7" s="801"/>
      <c r="F7" s="813" t="str">
        <f t="shared" si="2"/>
        <v>----</v>
      </c>
      <c r="G7" s="801"/>
      <c r="H7" s="813" t="str">
        <f t="shared" si="0"/>
        <v>----</v>
      </c>
      <c r="I7" s="798"/>
      <c r="J7" s="814" t="str">
        <f t="shared" si="1"/>
        <v>----</v>
      </c>
      <c r="K7" t="s">
        <v>641</v>
      </c>
      <c r="L7" s="370">
        <f>0.8*C7</f>
        <v>1880452.936</v>
      </c>
    </row>
    <row r="8" spans="1:12">
      <c r="A8" s="976">
        <v>45706</v>
      </c>
      <c r="B8" s="413" t="s">
        <v>829</v>
      </c>
      <c r="C8" s="788">
        <v>370190.5</v>
      </c>
      <c r="D8" s="803">
        <f>C8</f>
        <v>370190.5</v>
      </c>
      <c r="E8" s="805"/>
      <c r="F8" s="668" t="str">
        <f t="shared" si="2"/>
        <v>----</v>
      </c>
      <c r="G8" s="805"/>
      <c r="H8" s="668" t="str">
        <f t="shared" si="0"/>
        <v>----</v>
      </c>
      <c r="I8" s="804"/>
      <c r="J8" s="669" t="str">
        <f t="shared" si="1"/>
        <v>----</v>
      </c>
    </row>
    <row r="9" spans="1:12">
      <c r="A9" s="977"/>
      <c r="B9" s="703" t="s">
        <v>830</v>
      </c>
      <c r="C9" s="790">
        <v>217775</v>
      </c>
      <c r="D9" s="794">
        <f>C9</f>
        <v>217775</v>
      </c>
      <c r="E9" s="801"/>
      <c r="F9" s="813" t="str">
        <f t="shared" si="2"/>
        <v>----</v>
      </c>
      <c r="G9" s="801"/>
      <c r="H9" s="813" t="str">
        <f t="shared" si="0"/>
        <v>----</v>
      </c>
      <c r="I9" s="798"/>
      <c r="J9" s="814" t="str">
        <f t="shared" si="1"/>
        <v>----</v>
      </c>
    </row>
    <row r="10" spans="1:12">
      <c r="A10" s="977"/>
      <c r="B10" s="413" t="s">
        <v>831</v>
      </c>
      <c r="C10" s="788">
        <v>204429.5</v>
      </c>
      <c r="D10" s="803">
        <f>C10</f>
        <v>204429.5</v>
      </c>
      <c r="E10" s="805"/>
      <c r="F10" s="668" t="str">
        <f t="shared" si="2"/>
        <v>----</v>
      </c>
      <c r="G10" s="805"/>
      <c r="H10" s="668" t="str">
        <f t="shared" si="0"/>
        <v>----</v>
      </c>
      <c r="I10" s="804"/>
      <c r="J10" s="669" t="str">
        <f t="shared" si="1"/>
        <v>----</v>
      </c>
    </row>
    <row r="11" spans="1:12">
      <c r="A11" s="978"/>
      <c r="B11" s="703" t="s">
        <v>832</v>
      </c>
      <c r="C11" s="790">
        <v>397726</v>
      </c>
      <c r="D11" s="794">
        <f>C11</f>
        <v>397726</v>
      </c>
      <c r="E11" s="801"/>
      <c r="F11" s="813" t="str">
        <f t="shared" si="2"/>
        <v>----</v>
      </c>
      <c r="G11" s="801"/>
      <c r="H11" s="813" t="str">
        <f t="shared" si="0"/>
        <v>----</v>
      </c>
      <c r="I11" s="798"/>
      <c r="J11" s="814" t="str">
        <f t="shared" si="1"/>
        <v>----</v>
      </c>
    </row>
    <row r="12" spans="1:12">
      <c r="A12" s="91"/>
      <c r="B12" s="92"/>
      <c r="C12" s="788"/>
      <c r="D12" s="803"/>
      <c r="E12" s="805"/>
      <c r="F12" s="668" t="str">
        <f t="shared" si="2"/>
        <v>----</v>
      </c>
      <c r="G12" s="805"/>
      <c r="H12" s="668" t="str">
        <f t="shared" si="0"/>
        <v>----</v>
      </c>
      <c r="I12" s="804"/>
      <c r="J12" s="669" t="str">
        <f t="shared" si="1"/>
        <v>----</v>
      </c>
    </row>
    <row r="13" spans="1:12">
      <c r="A13" s="88"/>
      <c r="B13" s="101"/>
      <c r="C13" s="790"/>
      <c r="D13" s="794"/>
      <c r="E13" s="801"/>
      <c r="F13" s="813" t="str">
        <f t="shared" si="2"/>
        <v>----</v>
      </c>
      <c r="G13" s="801"/>
      <c r="H13" s="813" t="str">
        <f t="shared" si="0"/>
        <v>----</v>
      </c>
      <c r="I13" s="798"/>
      <c r="J13" s="814" t="str">
        <f t="shared" si="1"/>
        <v>----</v>
      </c>
    </row>
    <row r="14" spans="1:12">
      <c r="A14" s="91"/>
      <c r="B14" s="92"/>
      <c r="C14" s="788"/>
      <c r="D14" s="803"/>
      <c r="E14" s="805"/>
      <c r="F14" s="668" t="str">
        <f t="shared" si="2"/>
        <v>----</v>
      </c>
      <c r="G14" s="805"/>
      <c r="H14" s="668" t="str">
        <f t="shared" si="0"/>
        <v>----</v>
      </c>
      <c r="I14" s="804"/>
      <c r="J14" s="669" t="str">
        <f t="shared" si="1"/>
        <v>----</v>
      </c>
    </row>
    <row r="15" spans="1:12">
      <c r="A15" s="88"/>
      <c r="B15" s="101"/>
      <c r="C15" s="790"/>
      <c r="D15" s="794"/>
      <c r="E15" s="801"/>
      <c r="F15" s="813" t="str">
        <f t="shared" si="2"/>
        <v>----</v>
      </c>
      <c r="G15" s="801"/>
      <c r="H15" s="813" t="str">
        <f t="shared" si="0"/>
        <v>----</v>
      </c>
      <c r="I15" s="798"/>
      <c r="J15" s="814" t="str">
        <f t="shared" si="1"/>
        <v>----</v>
      </c>
    </row>
    <row r="16" spans="1:12">
      <c r="A16" s="91"/>
      <c r="B16" s="92"/>
      <c r="C16" s="788"/>
      <c r="D16" s="803"/>
      <c r="E16" s="805"/>
      <c r="F16" s="668" t="str">
        <f t="shared" si="2"/>
        <v>----</v>
      </c>
      <c r="G16" s="805"/>
      <c r="H16" s="668" t="str">
        <f t="shared" si="0"/>
        <v>----</v>
      </c>
      <c r="I16" s="804"/>
      <c r="J16" s="669" t="str">
        <f t="shared" si="1"/>
        <v>----</v>
      </c>
    </row>
    <row r="17" spans="1:10" ht="15.75" thickBot="1">
      <c r="A17" s="74"/>
      <c r="B17" s="75"/>
      <c r="C17" s="789"/>
      <c r="D17" s="796"/>
      <c r="E17" s="802"/>
      <c r="F17" s="807" t="str">
        <f t="shared" si="2"/>
        <v>----</v>
      </c>
      <c r="G17" s="802"/>
      <c r="H17" s="807" t="str">
        <f t="shared" si="0"/>
        <v>----</v>
      </c>
      <c r="I17" s="799"/>
      <c r="J17" s="808" t="str">
        <f t="shared" si="1"/>
        <v>----</v>
      </c>
    </row>
    <row r="18" spans="1:10" ht="15.75" thickBot="1">
      <c r="A18" s="27"/>
      <c r="B18" s="27"/>
      <c r="C18" s="28"/>
      <c r="D18" s="28"/>
      <c r="E18" s="441"/>
      <c r="F18" s="443">
        <f>SUM(F4:F17)</f>
        <v>1128</v>
      </c>
      <c r="G18" s="441"/>
      <c r="H18" s="443">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4"/>
    <col min="6" max="6" width="14.85546875" style="434" customWidth="1"/>
    <col min="7" max="7" width="10.7109375" style="434" bestFit="1" customWidth="1"/>
    <col min="8" max="8" width="14.85546875" style="434" customWidth="1"/>
    <col min="9" max="9" width="10.7109375" bestFit="1" customWidth="1"/>
    <col min="10" max="10" width="14.85546875" customWidth="1"/>
  </cols>
  <sheetData>
    <row r="1" spans="1:11" ht="15.75" thickBot="1">
      <c r="A1" s="958" t="s">
        <v>151</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46.5" thickBot="1">
      <c r="A3" s="966"/>
      <c r="B3" s="968"/>
      <c r="C3" s="968"/>
      <c r="D3" s="970"/>
      <c r="E3" s="462" t="s">
        <v>121</v>
      </c>
      <c r="F3" s="470" t="s">
        <v>704</v>
      </c>
      <c r="G3" s="462" t="s">
        <v>121</v>
      </c>
      <c r="H3" s="470" t="s">
        <v>704</v>
      </c>
      <c r="I3" s="480" t="s">
        <v>121</v>
      </c>
      <c r="J3" s="25" t="s">
        <v>704</v>
      </c>
    </row>
    <row r="4" spans="1:11">
      <c r="A4" s="70">
        <v>43816</v>
      </c>
      <c r="B4" s="71" t="s">
        <v>170</v>
      </c>
      <c r="C4" s="72">
        <v>365363.15</v>
      </c>
      <c r="D4" s="431">
        <f>C4</f>
        <v>365363.15</v>
      </c>
      <c r="E4" s="471"/>
      <c r="F4" s="472" t="str">
        <f>IF(ISBLANK(E4),"----",E4-$D4)</f>
        <v>----</v>
      </c>
      <c r="G4" s="471">
        <v>365526.6</v>
      </c>
      <c r="H4" s="472">
        <f t="shared" ref="H4:H17" si="0">IF(OR(G4="Complete",ISBLANK(G4)),"----",G4-$D4)</f>
        <v>163.44999999995343</v>
      </c>
      <c r="I4" s="481" t="s">
        <v>703</v>
      </c>
      <c r="J4" s="73" t="str">
        <f t="shared" ref="J4:J17" si="1">IF(OR(I4="Complete",ISBLANK(I4)),"----",I4-$D4)</f>
        <v>----</v>
      </c>
    </row>
    <row r="5" spans="1:11">
      <c r="A5" s="88">
        <v>44180</v>
      </c>
      <c r="B5" s="101" t="s">
        <v>360</v>
      </c>
      <c r="C5" s="118">
        <v>176897</v>
      </c>
      <c r="D5" s="433">
        <f>C5</f>
        <v>176897</v>
      </c>
      <c r="E5" s="473"/>
      <c r="F5" s="489" t="str">
        <f t="shared" ref="F5:F17" si="2">IF(ISBLANK(E5),"----",E5-$D5)</f>
        <v>----</v>
      </c>
      <c r="G5" s="473"/>
      <c r="H5" s="489" t="str">
        <f t="shared" si="0"/>
        <v>----</v>
      </c>
      <c r="I5" s="486"/>
      <c r="J5" s="119" t="str">
        <f t="shared" si="1"/>
        <v>----</v>
      </c>
    </row>
    <row r="6" spans="1:11">
      <c r="A6" s="102">
        <v>44243</v>
      </c>
      <c r="B6" s="103" t="s">
        <v>391</v>
      </c>
      <c r="C6" s="87">
        <v>842906.7</v>
      </c>
      <c r="D6" s="468">
        <v>542496.69999999995</v>
      </c>
      <c r="E6" s="475"/>
      <c r="F6" s="489" t="str">
        <f t="shared" si="2"/>
        <v>----</v>
      </c>
      <c r="G6" s="475"/>
      <c r="H6" s="489" t="str">
        <f t="shared" si="0"/>
        <v>----</v>
      </c>
      <c r="I6" s="488">
        <f>793938.56-300410</f>
        <v>493528.56000000006</v>
      </c>
      <c r="J6" s="119">
        <f t="shared" si="1"/>
        <v>-48968.139999999898</v>
      </c>
      <c r="K6" s="786" t="s">
        <v>810</v>
      </c>
    </row>
    <row r="7" spans="1:11">
      <c r="A7" s="102">
        <v>44271</v>
      </c>
      <c r="B7" s="103" t="s">
        <v>405</v>
      </c>
      <c r="C7" s="87">
        <v>125028.75</v>
      </c>
      <c r="D7" s="468">
        <f>C7</f>
        <v>125028.75</v>
      </c>
      <c r="E7" s="475"/>
      <c r="F7" s="489" t="str">
        <f t="shared" si="2"/>
        <v>----</v>
      </c>
      <c r="G7" s="475">
        <v>126843.08</v>
      </c>
      <c r="H7" s="489">
        <f t="shared" si="0"/>
        <v>1814.3300000000017</v>
      </c>
      <c r="I7" s="488" t="s">
        <v>703</v>
      </c>
      <c r="J7" s="119" t="str">
        <f t="shared" si="1"/>
        <v>----</v>
      </c>
    </row>
    <row r="8" spans="1:11">
      <c r="A8" s="102">
        <v>45251</v>
      </c>
      <c r="B8" s="103" t="str">
        <f>Pocahontas!B5</f>
        <v>BROS-C076(70)--8J-76</v>
      </c>
      <c r="C8" s="87">
        <f>Pocahontas!C5</f>
        <v>408294.37</v>
      </c>
      <c r="D8" s="468">
        <f>Pocahontas!D5</f>
        <v>387529.37</v>
      </c>
      <c r="E8" s="475"/>
      <c r="F8" s="489" t="str">
        <f t="shared" si="2"/>
        <v>----</v>
      </c>
      <c r="G8" s="475"/>
      <c r="H8" s="489" t="str">
        <f t="shared" si="0"/>
        <v>----</v>
      </c>
      <c r="I8" s="488"/>
      <c r="J8" s="119" t="str">
        <f t="shared" si="1"/>
        <v>----</v>
      </c>
    </row>
    <row r="9" spans="1:11">
      <c r="A9" s="102">
        <v>45342</v>
      </c>
      <c r="B9" s="452" t="s">
        <v>727</v>
      </c>
      <c r="C9" s="599">
        <v>979511.38</v>
      </c>
      <c r="D9" s="600">
        <f>C9</f>
        <v>979511.38</v>
      </c>
      <c r="E9" s="475"/>
      <c r="F9" s="489" t="str">
        <f t="shared" si="2"/>
        <v>----</v>
      </c>
      <c r="G9" s="475"/>
      <c r="H9" s="489" t="str">
        <f t="shared" si="0"/>
        <v>----</v>
      </c>
      <c r="I9" s="488"/>
      <c r="J9" s="119" t="str">
        <f t="shared" si="1"/>
        <v>----</v>
      </c>
    </row>
    <row r="10" spans="1:11">
      <c r="A10" s="102">
        <v>45734</v>
      </c>
      <c r="B10" s="727" t="s">
        <v>854</v>
      </c>
      <c r="C10" s="599">
        <v>594238.19999999995</v>
      </c>
      <c r="D10" s="600">
        <f>C10</f>
        <v>594238.19999999995</v>
      </c>
      <c r="E10" s="475"/>
      <c r="F10" s="489" t="str">
        <f t="shared" si="2"/>
        <v>----</v>
      </c>
      <c r="G10" s="475"/>
      <c r="H10" s="489" t="str">
        <f t="shared" si="0"/>
        <v>----</v>
      </c>
      <c r="I10" s="488"/>
      <c r="J10" s="119" t="str">
        <f t="shared" si="1"/>
        <v>----</v>
      </c>
    </row>
    <row r="11" spans="1:11">
      <c r="A11" s="102"/>
      <c r="B11" s="103"/>
      <c r="C11" s="87"/>
      <c r="D11" s="468"/>
      <c r="E11" s="475"/>
      <c r="F11" s="489" t="str">
        <f t="shared" si="2"/>
        <v>----</v>
      </c>
      <c r="G11" s="475"/>
      <c r="H11" s="489" t="str">
        <f t="shared" si="0"/>
        <v>----</v>
      </c>
      <c r="I11" s="488"/>
      <c r="J11" s="119" t="str">
        <f t="shared" si="1"/>
        <v>----</v>
      </c>
    </row>
    <row r="12" spans="1:11">
      <c r="A12" s="102"/>
      <c r="B12" s="103"/>
      <c r="C12" s="87"/>
      <c r="D12" s="468"/>
      <c r="E12" s="475"/>
      <c r="F12" s="489" t="str">
        <f t="shared" si="2"/>
        <v>----</v>
      </c>
      <c r="G12" s="475"/>
      <c r="H12" s="489" t="str">
        <f t="shared" si="0"/>
        <v>----</v>
      </c>
      <c r="I12" s="488"/>
      <c r="J12" s="119" t="str">
        <f t="shared" si="1"/>
        <v>----</v>
      </c>
    </row>
    <row r="13" spans="1:11">
      <c r="A13" s="102"/>
      <c r="B13" s="103"/>
      <c r="C13" s="87"/>
      <c r="D13" s="468"/>
      <c r="E13" s="475"/>
      <c r="F13" s="489" t="str">
        <f t="shared" si="2"/>
        <v>----</v>
      </c>
      <c r="G13" s="475"/>
      <c r="H13" s="489" t="str">
        <f t="shared" si="0"/>
        <v>----</v>
      </c>
      <c r="I13" s="488"/>
      <c r="J13" s="119" t="str">
        <f t="shared" si="1"/>
        <v>----</v>
      </c>
    </row>
    <row r="14" spans="1:11">
      <c r="A14" s="102"/>
      <c r="B14" s="103"/>
      <c r="C14" s="87"/>
      <c r="D14" s="468"/>
      <c r="E14" s="475"/>
      <c r="F14" s="489" t="str">
        <f t="shared" si="2"/>
        <v>----</v>
      </c>
      <c r="G14" s="475"/>
      <c r="H14" s="489" t="str">
        <f t="shared" si="0"/>
        <v>----</v>
      </c>
      <c r="I14" s="488"/>
      <c r="J14" s="119" t="str">
        <f t="shared" si="1"/>
        <v>----</v>
      </c>
    </row>
    <row r="15" spans="1:11">
      <c r="A15" s="102"/>
      <c r="B15" s="103"/>
      <c r="C15" s="87"/>
      <c r="D15" s="468"/>
      <c r="E15" s="475"/>
      <c r="F15" s="489" t="str">
        <f t="shared" si="2"/>
        <v>----</v>
      </c>
      <c r="G15" s="475"/>
      <c r="H15" s="489" t="str">
        <f t="shared" si="0"/>
        <v>----</v>
      </c>
      <c r="I15" s="488"/>
      <c r="J15" s="119" t="str">
        <f t="shared" si="1"/>
        <v>----</v>
      </c>
    </row>
    <row r="16" spans="1:11">
      <c r="A16" s="116"/>
      <c r="B16" s="117"/>
      <c r="C16" s="118"/>
      <c r="D16" s="469"/>
      <c r="E16" s="476"/>
      <c r="F16" s="489" t="str">
        <f t="shared" si="2"/>
        <v>----</v>
      </c>
      <c r="G16" s="476"/>
      <c r="H16" s="489" t="str">
        <f t="shared" si="0"/>
        <v>----</v>
      </c>
      <c r="I16" s="490"/>
      <c r="J16" s="119"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B23" sqref="B23"/>
    </sheetView>
  </sheetViews>
  <sheetFormatPr defaultRowHeight="15"/>
  <cols>
    <col min="2" max="2" width="23.7109375" bestFit="1" customWidth="1"/>
    <col min="3" max="3" width="10.7109375" bestFit="1" customWidth="1"/>
    <col min="4" max="4" width="11.5703125" customWidth="1"/>
    <col min="5" max="5" width="10.42578125" style="434" customWidth="1"/>
    <col min="6" max="6" width="11" style="434" customWidth="1"/>
    <col min="7" max="7" width="10" style="434" customWidth="1"/>
    <col min="8" max="8" width="11" style="434" customWidth="1"/>
    <col min="9" max="9" width="10" customWidth="1"/>
    <col min="10" max="10" width="11" customWidth="1"/>
  </cols>
  <sheetData>
    <row r="1" spans="1:11" ht="14.25" customHeight="1" thickBot="1">
      <c r="A1" s="958" t="s">
        <v>132</v>
      </c>
      <c r="B1" s="959"/>
      <c r="C1" s="959"/>
      <c r="D1" s="959"/>
      <c r="E1" s="959"/>
      <c r="F1" s="959"/>
      <c r="G1" s="959"/>
      <c r="H1" s="959"/>
      <c r="I1" s="959"/>
      <c r="J1" s="960"/>
    </row>
    <row r="2" spans="1:11" s="434" customFormat="1" ht="14.25" customHeigh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43753</v>
      </c>
      <c r="B4" s="259" t="s">
        <v>477</v>
      </c>
      <c r="C4" s="787">
        <v>319293.5</v>
      </c>
      <c r="D4" s="793">
        <f>C4</f>
        <v>319293.5</v>
      </c>
      <c r="E4" s="800"/>
      <c r="F4" s="809" t="str">
        <f>IF(ISBLANK(E4),"----",E4-$D4)</f>
        <v>----</v>
      </c>
      <c r="G4" s="800"/>
      <c r="H4" s="809" t="str">
        <f t="shared" ref="H4:H22" si="0">IF(OR(G4="Complete",ISBLANK(G4)),"----",G4-$D4)</f>
        <v>----</v>
      </c>
      <c r="I4" s="797"/>
      <c r="J4" s="810" t="str">
        <f t="shared" ref="J4:J22" si="1">IF(OR(I4="Complete",ISBLANK(I4)),"----",I4-$D4)</f>
        <v>----</v>
      </c>
    </row>
    <row r="5" spans="1:11">
      <c r="A5" s="88">
        <v>44551</v>
      </c>
      <c r="B5" s="260" t="s">
        <v>478</v>
      </c>
      <c r="C5" s="790">
        <v>342622.4</v>
      </c>
      <c r="D5" s="794">
        <f>C5</f>
        <v>342622.4</v>
      </c>
      <c r="E5" s="801">
        <v>342622.39</v>
      </c>
      <c r="F5" s="780">
        <f t="shared" ref="F5:F22" si="2">IF(ISBLANK(E5),"----",E5-$D5)</f>
        <v>-1.0000000009313226E-2</v>
      </c>
      <c r="G5" s="801" t="s">
        <v>703</v>
      </c>
      <c r="H5" s="780" t="str">
        <f t="shared" si="0"/>
        <v>----</v>
      </c>
      <c r="I5" s="798" t="s">
        <v>703</v>
      </c>
      <c r="J5" s="781" t="str">
        <f t="shared" si="1"/>
        <v>----</v>
      </c>
    </row>
    <row r="6" spans="1:11">
      <c r="A6" s="102">
        <v>44915</v>
      </c>
      <c r="B6" s="258" t="s">
        <v>602</v>
      </c>
      <c r="C6" s="776">
        <v>476642.96</v>
      </c>
      <c r="D6" s="735">
        <f>C6</f>
        <v>476642.96</v>
      </c>
      <c r="E6" s="745">
        <v>474129.24</v>
      </c>
      <c r="F6" s="780">
        <f t="shared" si="2"/>
        <v>-2513.7200000000303</v>
      </c>
      <c r="G6" s="745" t="s">
        <v>703</v>
      </c>
      <c r="H6" s="780" t="str">
        <f t="shared" si="0"/>
        <v>----</v>
      </c>
      <c r="I6" s="740" t="s">
        <v>703</v>
      </c>
      <c r="J6" s="781" t="str">
        <f t="shared" si="1"/>
        <v>----</v>
      </c>
    </row>
    <row r="7" spans="1:11">
      <c r="A7" s="976">
        <v>45734</v>
      </c>
      <c r="B7" s="258" t="s">
        <v>855</v>
      </c>
      <c r="C7" s="776">
        <v>184835</v>
      </c>
      <c r="D7" s="735">
        <f>C7</f>
        <v>184835</v>
      </c>
      <c r="E7" s="745"/>
      <c r="F7" s="780" t="str">
        <f t="shared" si="2"/>
        <v>----</v>
      </c>
      <c r="G7" s="745"/>
      <c r="H7" s="780" t="str">
        <f t="shared" si="0"/>
        <v>----</v>
      </c>
      <c r="I7" s="740"/>
      <c r="J7" s="781" t="str">
        <f t="shared" si="1"/>
        <v>----</v>
      </c>
    </row>
    <row r="8" spans="1:11">
      <c r="A8" s="978"/>
      <c r="B8" s="258" t="s">
        <v>856</v>
      </c>
      <c r="C8" s="776">
        <v>109288</v>
      </c>
      <c r="D8" s="735">
        <f>C8</f>
        <v>109288</v>
      </c>
      <c r="E8" s="745"/>
      <c r="F8" s="780" t="str">
        <f t="shared" si="2"/>
        <v>----</v>
      </c>
      <c r="G8" s="745"/>
      <c r="H8" s="780" t="str">
        <f t="shared" si="0"/>
        <v>----</v>
      </c>
      <c r="I8" s="740"/>
      <c r="J8" s="781" t="str">
        <f t="shared" si="1"/>
        <v>----</v>
      </c>
    </row>
    <row r="9" spans="1:11">
      <c r="A9" s="702">
        <v>45734</v>
      </c>
      <c r="B9" s="703" t="s">
        <v>857</v>
      </c>
      <c r="C9" s="376">
        <f>1/2*855770.56</f>
        <v>427885.28</v>
      </c>
      <c r="D9" s="566">
        <f>C9-1/2*20000</f>
        <v>417885.28</v>
      </c>
      <c r="E9" s="473"/>
      <c r="F9" s="474" t="str">
        <f t="shared" si="2"/>
        <v>----</v>
      </c>
      <c r="G9" s="473"/>
      <c r="H9" s="474" t="str">
        <f t="shared" si="0"/>
        <v>----</v>
      </c>
      <c r="I9" s="486"/>
      <c r="J9" s="447" t="str">
        <f t="shared" si="1"/>
        <v>----</v>
      </c>
      <c r="K9" s="786" t="s">
        <v>885</v>
      </c>
    </row>
    <row r="10" spans="1:11">
      <c r="A10" s="102"/>
      <c r="B10" s="258"/>
      <c r="C10" s="776"/>
      <c r="D10" s="735"/>
      <c r="E10" s="745"/>
      <c r="F10" s="780" t="str">
        <f t="shared" si="2"/>
        <v>----</v>
      </c>
      <c r="G10" s="745"/>
      <c r="H10" s="780" t="str">
        <f t="shared" si="0"/>
        <v>----</v>
      </c>
      <c r="I10" s="740"/>
      <c r="J10" s="781" t="str">
        <f t="shared" si="1"/>
        <v>----</v>
      </c>
    </row>
    <row r="11" spans="1:11">
      <c r="A11" s="102"/>
      <c r="B11" s="258"/>
      <c r="C11" s="776"/>
      <c r="D11" s="735"/>
      <c r="E11" s="745"/>
      <c r="F11" s="780" t="str">
        <f t="shared" si="2"/>
        <v>----</v>
      </c>
      <c r="G11" s="745"/>
      <c r="H11" s="780" t="str">
        <f t="shared" si="0"/>
        <v>----</v>
      </c>
      <c r="I11" s="740"/>
      <c r="J11" s="781" t="str">
        <f t="shared" si="1"/>
        <v>----</v>
      </c>
    </row>
    <row r="12" spans="1:11">
      <c r="A12" s="102"/>
      <c r="B12" s="258"/>
      <c r="C12" s="776"/>
      <c r="D12" s="735"/>
      <c r="E12" s="745"/>
      <c r="F12" s="780" t="str">
        <f t="shared" si="2"/>
        <v>----</v>
      </c>
      <c r="G12" s="745"/>
      <c r="H12" s="780" t="str">
        <f t="shared" si="0"/>
        <v>----</v>
      </c>
      <c r="I12" s="740"/>
      <c r="J12" s="781" t="str">
        <f t="shared" si="1"/>
        <v>----</v>
      </c>
    </row>
    <row r="13" spans="1:11">
      <c r="A13" s="102"/>
      <c r="B13" s="258"/>
      <c r="C13" s="776"/>
      <c r="D13" s="735"/>
      <c r="E13" s="745"/>
      <c r="F13" s="780" t="str">
        <f t="shared" si="2"/>
        <v>----</v>
      </c>
      <c r="G13" s="745"/>
      <c r="H13" s="780" t="str">
        <f t="shared" si="0"/>
        <v>----</v>
      </c>
      <c r="I13" s="740"/>
      <c r="J13" s="781" t="str">
        <f t="shared" si="1"/>
        <v>----</v>
      </c>
    </row>
    <row r="14" spans="1:11">
      <c r="A14" s="102"/>
      <c r="B14" s="258"/>
      <c r="C14" s="776"/>
      <c r="D14" s="735"/>
      <c r="E14" s="745"/>
      <c r="F14" s="780" t="str">
        <f t="shared" si="2"/>
        <v>----</v>
      </c>
      <c r="G14" s="745"/>
      <c r="H14" s="780" t="str">
        <f t="shared" si="0"/>
        <v>----</v>
      </c>
      <c r="I14" s="740"/>
      <c r="J14" s="781" t="str">
        <f t="shared" si="1"/>
        <v>----</v>
      </c>
    </row>
    <row r="15" spans="1:11">
      <c r="A15" s="102"/>
      <c r="B15" s="258"/>
      <c r="C15" s="776"/>
      <c r="D15" s="735"/>
      <c r="E15" s="745"/>
      <c r="F15" s="780" t="str">
        <f t="shared" si="2"/>
        <v>----</v>
      </c>
      <c r="G15" s="745"/>
      <c r="H15" s="780" t="str">
        <f t="shared" si="0"/>
        <v>----</v>
      </c>
      <c r="I15" s="740"/>
      <c r="J15" s="781" t="str">
        <f t="shared" si="1"/>
        <v>----</v>
      </c>
    </row>
    <row r="16" spans="1:11">
      <c r="A16" s="102"/>
      <c r="B16" s="258"/>
      <c r="C16" s="776"/>
      <c r="D16" s="735"/>
      <c r="E16" s="745"/>
      <c r="F16" s="780" t="str">
        <f t="shared" si="2"/>
        <v>----</v>
      </c>
      <c r="G16" s="745"/>
      <c r="H16" s="780" t="str">
        <f t="shared" si="0"/>
        <v>----</v>
      </c>
      <c r="I16" s="740"/>
      <c r="J16" s="781" t="str">
        <f t="shared" si="1"/>
        <v>----</v>
      </c>
    </row>
    <row r="17" spans="1:11">
      <c r="A17" s="102"/>
      <c r="B17" s="258"/>
      <c r="C17" s="776"/>
      <c r="D17" s="735"/>
      <c r="E17" s="745"/>
      <c r="F17" s="780" t="str">
        <f t="shared" si="2"/>
        <v>----</v>
      </c>
      <c r="G17" s="745"/>
      <c r="H17" s="780" t="str">
        <f t="shared" si="0"/>
        <v>----</v>
      </c>
      <c r="I17" s="740"/>
      <c r="J17" s="781" t="str">
        <f t="shared" si="1"/>
        <v>----</v>
      </c>
    </row>
    <row r="18" spans="1:11">
      <c r="A18" s="102"/>
      <c r="B18" s="258"/>
      <c r="C18" s="776"/>
      <c r="D18" s="735"/>
      <c r="E18" s="745"/>
      <c r="F18" s="780" t="str">
        <f t="shared" si="2"/>
        <v>----</v>
      </c>
      <c r="G18" s="745"/>
      <c r="H18" s="780" t="str">
        <f t="shared" si="0"/>
        <v>----</v>
      </c>
      <c r="I18" s="740"/>
      <c r="J18" s="781" t="str">
        <f t="shared" si="1"/>
        <v>----</v>
      </c>
    </row>
    <row r="19" spans="1:11">
      <c r="A19" s="102"/>
      <c r="B19" s="258"/>
      <c r="C19" s="776"/>
      <c r="D19" s="735"/>
      <c r="E19" s="745"/>
      <c r="F19" s="780" t="str">
        <f t="shared" si="2"/>
        <v>----</v>
      </c>
      <c r="G19" s="745"/>
      <c r="H19" s="780" t="str">
        <f t="shared" si="0"/>
        <v>----</v>
      </c>
      <c r="I19" s="740"/>
      <c r="J19" s="781" t="str">
        <f t="shared" si="1"/>
        <v>----</v>
      </c>
    </row>
    <row r="20" spans="1:11">
      <c r="A20" s="102"/>
      <c r="B20" s="258"/>
      <c r="C20" s="776"/>
      <c r="D20" s="735"/>
      <c r="E20" s="745"/>
      <c r="F20" s="780" t="str">
        <f t="shared" si="2"/>
        <v>----</v>
      </c>
      <c r="G20" s="745"/>
      <c r="H20" s="780" t="str">
        <f t="shared" si="0"/>
        <v>----</v>
      </c>
      <c r="I20" s="740"/>
      <c r="J20" s="781" t="str">
        <f t="shared" si="1"/>
        <v>----</v>
      </c>
    </row>
    <row r="21" spans="1:11">
      <c r="A21" s="116"/>
      <c r="B21" s="261"/>
      <c r="C21" s="779"/>
      <c r="D21" s="795"/>
      <c r="E21" s="746"/>
      <c r="F21" s="780" t="str">
        <f t="shared" si="2"/>
        <v>----</v>
      </c>
      <c r="G21" s="746"/>
      <c r="H21" s="780" t="str">
        <f t="shared" si="0"/>
        <v>----</v>
      </c>
      <c r="I21" s="741"/>
      <c r="J21" s="781" t="str">
        <f t="shared" si="1"/>
        <v>----</v>
      </c>
    </row>
    <row r="22" spans="1:11" ht="15.75" thickBot="1">
      <c r="A22" s="74"/>
      <c r="B22" s="75"/>
      <c r="C22" s="789"/>
      <c r="D22" s="796"/>
      <c r="E22" s="802"/>
      <c r="F22" s="807" t="str">
        <f t="shared" si="2"/>
        <v>----</v>
      </c>
      <c r="G22" s="802"/>
      <c r="H22" s="807" t="str">
        <f t="shared" si="0"/>
        <v>----</v>
      </c>
      <c r="I22" s="799"/>
      <c r="J22" s="808" t="str">
        <f t="shared" si="1"/>
        <v>----</v>
      </c>
    </row>
    <row r="23" spans="1:11" ht="15.75" thickBot="1">
      <c r="A23" s="27"/>
      <c r="B23" s="27"/>
      <c r="C23" s="820"/>
      <c r="D23" s="820"/>
      <c r="E23" s="820"/>
      <c r="F23" s="821">
        <f>SUM(F4:F22)</f>
        <v>-2513.7300000000396</v>
      </c>
      <c r="G23" s="820"/>
      <c r="H23" s="821">
        <f>SUM(H4:H22)</f>
        <v>0</v>
      </c>
      <c r="I23" s="820"/>
      <c r="J23" s="821">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6" sqref="D16"/>
    </sheetView>
  </sheetViews>
  <sheetFormatPr defaultRowHeight="15"/>
  <cols>
    <col min="2" max="2" width="30.7109375" bestFit="1" customWidth="1"/>
    <col min="3" max="4" width="12.28515625" bestFit="1" customWidth="1"/>
    <col min="5" max="5" width="12.5703125" style="434" bestFit="1" customWidth="1"/>
    <col min="6" max="6" width="9.85546875" style="434" bestFit="1" customWidth="1"/>
    <col min="7" max="7" width="12.5703125" style="434" bestFit="1" customWidth="1"/>
    <col min="8" max="8" width="9.85546875" style="434" bestFit="1" customWidth="1"/>
    <col min="9" max="9" width="12.5703125" bestFit="1" customWidth="1"/>
    <col min="10" max="10" width="9.85546875" bestFit="1" customWidth="1"/>
  </cols>
  <sheetData>
    <row r="1" spans="1:11" ht="15.75" thickBot="1">
      <c r="A1" s="958" t="s">
        <v>251</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44033</v>
      </c>
      <c r="B4" s="71" t="s">
        <v>297</v>
      </c>
      <c r="C4" s="787">
        <v>664562.31999999995</v>
      </c>
      <c r="D4" s="793">
        <f>C4</f>
        <v>664562.31999999995</v>
      </c>
      <c r="E4" s="800">
        <v>659636.07999999996</v>
      </c>
      <c r="F4" s="809">
        <f>IF(ISBLANK(E4),"----",E4-$D4)</f>
        <v>-4926.2399999999907</v>
      </c>
      <c r="G4" s="800" t="s">
        <v>703</v>
      </c>
      <c r="H4" s="809" t="str">
        <f t="shared" ref="H4:H24" si="0">IF(OR(G4="Complete",ISBLANK(G4)),"----",G4-$D4)</f>
        <v>----</v>
      </c>
      <c r="I4" s="797" t="s">
        <v>703</v>
      </c>
      <c r="J4" s="810" t="str">
        <f t="shared" ref="J4:J24" si="1">IF(OR(I4="Complete",ISBLANK(I4)),"----",I4-$D4)</f>
        <v>----</v>
      </c>
    </row>
    <row r="5" spans="1:11">
      <c r="A5" s="88">
        <v>44124</v>
      </c>
      <c r="B5" s="101" t="s">
        <v>309</v>
      </c>
      <c r="C5" s="790">
        <v>647329</v>
      </c>
      <c r="D5" s="794">
        <v>428849</v>
      </c>
      <c r="E5" s="801"/>
      <c r="F5" s="813" t="str">
        <f t="shared" ref="F5:F24" si="2">IF(ISBLANK(E5),"----",E5-$D5)</f>
        <v>----</v>
      </c>
      <c r="G5" s="801">
        <f>674323.68-218480</f>
        <v>455843.68000000005</v>
      </c>
      <c r="H5" s="813">
        <f t="shared" si="0"/>
        <v>26994.680000000051</v>
      </c>
      <c r="I5" s="798" t="s">
        <v>703</v>
      </c>
      <c r="J5" s="814" t="str">
        <f t="shared" si="1"/>
        <v>----</v>
      </c>
      <c r="K5" t="s">
        <v>806</v>
      </c>
    </row>
    <row r="6" spans="1:11">
      <c r="A6" s="102">
        <v>44306</v>
      </c>
      <c r="B6" s="103" t="s">
        <v>420</v>
      </c>
      <c r="C6" s="776">
        <v>621942.03</v>
      </c>
      <c r="D6" s="735">
        <f t="shared" ref="D6:D11" si="3">C6</f>
        <v>621942.03</v>
      </c>
      <c r="E6" s="745">
        <v>685979.82</v>
      </c>
      <c r="F6" s="777">
        <f t="shared" si="2"/>
        <v>64037.789999999921</v>
      </c>
      <c r="G6" s="745" t="s">
        <v>703</v>
      </c>
      <c r="H6" s="777" t="str">
        <f t="shared" si="0"/>
        <v>----</v>
      </c>
      <c r="I6" s="740" t="s">
        <v>703</v>
      </c>
      <c r="J6" s="778" t="str">
        <f t="shared" si="1"/>
        <v>----</v>
      </c>
    </row>
    <row r="7" spans="1:11">
      <c r="A7" s="102">
        <v>44733</v>
      </c>
      <c r="B7" s="103" t="s">
        <v>535</v>
      </c>
      <c r="C7" s="776">
        <v>443631.64</v>
      </c>
      <c r="D7" s="735">
        <f t="shared" si="3"/>
        <v>443631.64</v>
      </c>
      <c r="E7" s="818"/>
      <c r="F7" s="777" t="str">
        <f t="shared" si="2"/>
        <v>----</v>
      </c>
      <c r="G7" s="818"/>
      <c r="H7" s="777" t="str">
        <f t="shared" si="0"/>
        <v>----</v>
      </c>
      <c r="I7" s="819"/>
      <c r="J7" s="778" t="str">
        <f t="shared" si="1"/>
        <v>----</v>
      </c>
    </row>
    <row r="8" spans="1:11">
      <c r="A8" s="102">
        <v>44774</v>
      </c>
      <c r="B8" s="103" t="s">
        <v>534</v>
      </c>
      <c r="C8" s="776">
        <v>-1500000</v>
      </c>
      <c r="D8" s="735">
        <f t="shared" si="3"/>
        <v>-1500000</v>
      </c>
      <c r="E8" s="818">
        <v>-1500000</v>
      </c>
      <c r="F8" s="777">
        <f t="shared" si="2"/>
        <v>0</v>
      </c>
      <c r="G8" s="818" t="s">
        <v>703</v>
      </c>
      <c r="H8" s="777" t="str">
        <f t="shared" si="0"/>
        <v>----</v>
      </c>
      <c r="I8" s="819" t="s">
        <v>703</v>
      </c>
      <c r="J8" s="778" t="str">
        <f t="shared" si="1"/>
        <v>----</v>
      </c>
    </row>
    <row r="9" spans="1:11">
      <c r="A9" s="102">
        <v>44789</v>
      </c>
      <c r="B9" s="103" t="s">
        <v>552</v>
      </c>
      <c r="C9" s="776">
        <v>485482.5</v>
      </c>
      <c r="D9" s="735">
        <f t="shared" si="3"/>
        <v>485482.5</v>
      </c>
      <c r="E9" s="745"/>
      <c r="F9" s="777" t="str">
        <f t="shared" si="2"/>
        <v>----</v>
      </c>
      <c r="G9" s="745"/>
      <c r="H9" s="777" t="str">
        <f t="shared" si="0"/>
        <v>----</v>
      </c>
      <c r="I9" s="740"/>
      <c r="J9" s="778" t="str">
        <f t="shared" si="1"/>
        <v>----</v>
      </c>
    </row>
    <row r="10" spans="1:11">
      <c r="A10" s="102">
        <v>44880</v>
      </c>
      <c r="B10" s="103" t="s">
        <v>586</v>
      </c>
      <c r="C10" s="776">
        <v>1073365.94</v>
      </c>
      <c r="D10" s="735">
        <f t="shared" si="3"/>
        <v>1073365.94</v>
      </c>
      <c r="E10" s="745"/>
      <c r="F10" s="777" t="str">
        <f t="shared" si="2"/>
        <v>----</v>
      </c>
      <c r="G10" s="745"/>
      <c r="H10" s="777" t="str">
        <f t="shared" si="0"/>
        <v>----</v>
      </c>
      <c r="I10" s="740"/>
      <c r="J10" s="778" t="str">
        <f t="shared" si="1"/>
        <v>----</v>
      </c>
    </row>
    <row r="11" spans="1:11">
      <c r="A11" s="102">
        <v>44880</v>
      </c>
      <c r="B11" s="103" t="s">
        <v>587</v>
      </c>
      <c r="C11" s="776">
        <v>1175531.25</v>
      </c>
      <c r="D11" s="735">
        <f t="shared" si="3"/>
        <v>1175531.25</v>
      </c>
      <c r="E11" s="745"/>
      <c r="F11" s="777" t="str">
        <f t="shared" si="2"/>
        <v>----</v>
      </c>
      <c r="G11" s="745"/>
      <c r="H11" s="777" t="str">
        <f t="shared" si="0"/>
        <v>----</v>
      </c>
      <c r="I11" s="740"/>
      <c r="J11" s="778" t="str">
        <f t="shared" si="1"/>
        <v>----</v>
      </c>
    </row>
    <row r="12" spans="1:11">
      <c r="A12" s="102">
        <v>44944</v>
      </c>
      <c r="B12" s="103" t="s">
        <v>624</v>
      </c>
      <c r="C12" s="776">
        <v>1861848.2</v>
      </c>
      <c r="D12" s="735">
        <f>C12</f>
        <v>1861848.2</v>
      </c>
      <c r="E12" s="745"/>
      <c r="F12" s="777" t="str">
        <f t="shared" si="2"/>
        <v>----</v>
      </c>
      <c r="G12" s="745"/>
      <c r="H12" s="777" t="str">
        <f t="shared" si="0"/>
        <v>----</v>
      </c>
      <c r="I12" s="740"/>
      <c r="J12" s="778" t="str">
        <f t="shared" si="1"/>
        <v>----</v>
      </c>
    </row>
    <row r="13" spans="1:11">
      <c r="A13" s="102">
        <v>45679</v>
      </c>
      <c r="B13" s="727" t="s">
        <v>815</v>
      </c>
      <c r="C13" s="776">
        <v>632717.75</v>
      </c>
      <c r="D13" s="735">
        <f>C13</f>
        <v>632717.75</v>
      </c>
      <c r="E13" s="745"/>
      <c r="F13" s="777" t="str">
        <f t="shared" si="2"/>
        <v>----</v>
      </c>
      <c r="G13" s="745"/>
      <c r="H13" s="777" t="str">
        <f t="shared" si="0"/>
        <v>----</v>
      </c>
      <c r="I13" s="740"/>
      <c r="J13" s="778" t="str">
        <f t="shared" si="1"/>
        <v>----</v>
      </c>
    </row>
    <row r="14" spans="1:11">
      <c r="A14" s="102">
        <v>45679</v>
      </c>
      <c r="B14" s="727" t="s">
        <v>816</v>
      </c>
      <c r="C14" s="776">
        <v>432358.5</v>
      </c>
      <c r="D14" s="735">
        <f>C14</f>
        <v>432358.5</v>
      </c>
      <c r="E14" s="745"/>
      <c r="F14" s="777" t="str">
        <f t="shared" si="2"/>
        <v>----</v>
      </c>
      <c r="G14" s="745"/>
      <c r="H14" s="777" t="str">
        <f t="shared" si="0"/>
        <v>----</v>
      </c>
      <c r="I14" s="740"/>
      <c r="J14" s="778" t="str">
        <f t="shared" si="1"/>
        <v>----</v>
      </c>
    </row>
    <row r="15" spans="1:11">
      <c r="A15" s="102">
        <v>45825</v>
      </c>
      <c r="B15" s="727" t="s">
        <v>879</v>
      </c>
      <c r="C15" s="776">
        <v>837106.1</v>
      </c>
      <c r="D15" s="735">
        <f>C15</f>
        <v>837106.1</v>
      </c>
      <c r="E15" s="745"/>
      <c r="F15" s="777" t="str">
        <f t="shared" si="2"/>
        <v>----</v>
      </c>
      <c r="G15" s="745"/>
      <c r="H15" s="777" t="str">
        <f t="shared" si="0"/>
        <v>----</v>
      </c>
      <c r="I15" s="740"/>
      <c r="J15" s="778" t="str">
        <f t="shared" si="1"/>
        <v>----</v>
      </c>
    </row>
    <row r="16" spans="1:11">
      <c r="A16" s="102"/>
      <c r="B16" s="103"/>
      <c r="C16" s="776"/>
      <c r="D16" s="735"/>
      <c r="E16" s="745"/>
      <c r="F16" s="777" t="str">
        <f t="shared" si="2"/>
        <v>----</v>
      </c>
      <c r="G16" s="745"/>
      <c r="H16" s="777" t="str">
        <f t="shared" si="0"/>
        <v>----</v>
      </c>
      <c r="I16" s="740"/>
      <c r="J16" s="778" t="str">
        <f t="shared" si="1"/>
        <v>----</v>
      </c>
    </row>
    <row r="17" spans="1:10">
      <c r="A17" s="102"/>
      <c r="B17" s="103"/>
      <c r="C17" s="776"/>
      <c r="D17" s="735"/>
      <c r="E17" s="745"/>
      <c r="F17" s="777" t="str">
        <f t="shared" si="2"/>
        <v>----</v>
      </c>
      <c r="G17" s="745"/>
      <c r="H17" s="777" t="str">
        <f t="shared" si="0"/>
        <v>----</v>
      </c>
      <c r="I17" s="740"/>
      <c r="J17" s="778" t="str">
        <f t="shared" si="1"/>
        <v>----</v>
      </c>
    </row>
    <row r="18" spans="1:10">
      <c r="A18" s="102"/>
      <c r="B18" s="103"/>
      <c r="C18" s="776"/>
      <c r="D18" s="735"/>
      <c r="E18" s="745"/>
      <c r="F18" s="777" t="str">
        <f t="shared" si="2"/>
        <v>----</v>
      </c>
      <c r="G18" s="745"/>
      <c r="H18" s="777" t="str">
        <f t="shared" si="0"/>
        <v>----</v>
      </c>
      <c r="I18" s="740"/>
      <c r="J18" s="778" t="str">
        <f t="shared" si="1"/>
        <v>----</v>
      </c>
    </row>
    <row r="19" spans="1:10">
      <c r="A19" s="102"/>
      <c r="B19" s="103"/>
      <c r="C19" s="776"/>
      <c r="D19" s="735"/>
      <c r="E19" s="745"/>
      <c r="F19" s="777" t="str">
        <f t="shared" si="2"/>
        <v>----</v>
      </c>
      <c r="G19" s="745"/>
      <c r="H19" s="777" t="str">
        <f t="shared" si="0"/>
        <v>----</v>
      </c>
      <c r="I19" s="740"/>
      <c r="J19" s="778" t="str">
        <f t="shared" si="1"/>
        <v>----</v>
      </c>
    </row>
    <row r="20" spans="1:10">
      <c r="A20" s="102"/>
      <c r="B20" s="103"/>
      <c r="C20" s="776"/>
      <c r="D20" s="735"/>
      <c r="E20" s="745"/>
      <c r="F20" s="777" t="str">
        <f t="shared" si="2"/>
        <v>----</v>
      </c>
      <c r="G20" s="745"/>
      <c r="H20" s="777" t="str">
        <f t="shared" si="0"/>
        <v>----</v>
      </c>
      <c r="I20" s="740"/>
      <c r="J20" s="778" t="str">
        <f t="shared" si="1"/>
        <v>----</v>
      </c>
    </row>
    <row r="21" spans="1:10">
      <c r="A21" s="102"/>
      <c r="B21" s="103"/>
      <c r="C21" s="776"/>
      <c r="D21" s="735"/>
      <c r="E21" s="745"/>
      <c r="F21" s="777" t="str">
        <f t="shared" si="2"/>
        <v>----</v>
      </c>
      <c r="G21" s="745"/>
      <c r="H21" s="777" t="str">
        <f t="shared" si="0"/>
        <v>----</v>
      </c>
      <c r="I21" s="740"/>
      <c r="J21" s="778" t="str">
        <f t="shared" si="1"/>
        <v>----</v>
      </c>
    </row>
    <row r="22" spans="1:10">
      <c r="A22" s="102"/>
      <c r="B22" s="103"/>
      <c r="C22" s="776"/>
      <c r="D22" s="735"/>
      <c r="E22" s="745"/>
      <c r="F22" s="777" t="str">
        <f t="shared" si="2"/>
        <v>----</v>
      </c>
      <c r="G22" s="745"/>
      <c r="H22" s="777" t="str">
        <f t="shared" si="0"/>
        <v>----</v>
      </c>
      <c r="I22" s="740"/>
      <c r="J22" s="778" t="str">
        <f t="shared" si="1"/>
        <v>----</v>
      </c>
    </row>
    <row r="23" spans="1:10">
      <c r="A23" s="116"/>
      <c r="B23" s="117"/>
      <c r="C23" s="779"/>
      <c r="D23" s="795"/>
      <c r="E23" s="746"/>
      <c r="F23" s="780" t="str">
        <f t="shared" si="2"/>
        <v>----</v>
      </c>
      <c r="G23" s="746"/>
      <c r="H23" s="780" t="str">
        <f t="shared" si="0"/>
        <v>----</v>
      </c>
      <c r="I23" s="741"/>
      <c r="J23" s="781" t="str">
        <f t="shared" si="1"/>
        <v>----</v>
      </c>
    </row>
    <row r="24" spans="1:10" ht="15.75" thickBot="1">
      <c r="A24" s="74"/>
      <c r="B24" s="75"/>
      <c r="C24" s="789"/>
      <c r="D24" s="796"/>
      <c r="E24" s="802"/>
      <c r="F24" s="807" t="str">
        <f t="shared" si="2"/>
        <v>----</v>
      </c>
      <c r="G24" s="802"/>
      <c r="H24" s="807" t="str">
        <f t="shared" si="0"/>
        <v>----</v>
      </c>
      <c r="I24" s="799"/>
      <c r="J24" s="808" t="str">
        <f t="shared" si="1"/>
        <v>----</v>
      </c>
    </row>
    <row r="25" spans="1:10" ht="15.75" thickBot="1">
      <c r="A25" s="27"/>
      <c r="B25" s="27"/>
      <c r="C25" s="820"/>
      <c r="D25" s="820"/>
      <c r="E25" s="820"/>
      <c r="F25" s="821">
        <f>SUM(F4:F24)</f>
        <v>59111.54999999993</v>
      </c>
      <c r="G25" s="820"/>
      <c r="H25" s="821">
        <f>SUM(H4:H24)</f>
        <v>26994.680000000051</v>
      </c>
      <c r="I25" s="820"/>
      <c r="J25" s="821">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4" customWidth="1"/>
    <col min="6" max="6" width="11.7109375" style="434" customWidth="1"/>
    <col min="7" max="7" width="11" style="434" customWidth="1"/>
    <col min="8" max="8" width="11.7109375" style="434" customWidth="1"/>
    <col min="9" max="9" width="11" customWidth="1"/>
    <col min="10" max="10" width="11.7109375" customWidth="1"/>
  </cols>
  <sheetData>
    <row r="1" spans="1:10" ht="15.75" thickBot="1">
      <c r="A1" s="958" t="s">
        <v>214</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704</v>
      </c>
      <c r="G3" s="462" t="s">
        <v>121</v>
      </c>
      <c r="H3" s="470" t="s">
        <v>704</v>
      </c>
      <c r="I3" s="480" t="s">
        <v>121</v>
      </c>
      <c r="J3" s="25" t="s">
        <v>704</v>
      </c>
    </row>
    <row r="4" spans="1:10">
      <c r="A4" s="70">
        <v>43879</v>
      </c>
      <c r="B4" s="71" t="s">
        <v>393</v>
      </c>
      <c r="C4" s="787">
        <v>487980.01</v>
      </c>
      <c r="D4" s="793">
        <f>C4</f>
        <v>487980.01</v>
      </c>
      <c r="E4" s="800">
        <v>488409.51</v>
      </c>
      <c r="F4" s="809">
        <f>IF(ISBLANK(E4),"----",E4-$D4)</f>
        <v>429.5</v>
      </c>
      <c r="G4" s="800" t="s">
        <v>703</v>
      </c>
      <c r="H4" s="809" t="str">
        <f t="shared" ref="H4:H21" si="0">IF(OR(G4="Complete",ISBLANK(G4)),"----",G4-$D4)</f>
        <v>----</v>
      </c>
      <c r="I4" s="797" t="s">
        <v>703</v>
      </c>
      <c r="J4" s="810" t="str">
        <f t="shared" ref="J4:J21" si="1">IF(OR(I4="Complete",ISBLANK(I4)),"----",I4-$D4)</f>
        <v>----</v>
      </c>
    </row>
    <row r="5" spans="1:10">
      <c r="A5" s="102">
        <v>44089</v>
      </c>
      <c r="B5" s="103" t="s">
        <v>581</v>
      </c>
      <c r="C5" s="776">
        <v>818168.13</v>
      </c>
      <c r="D5" s="735">
        <v>353898.12</v>
      </c>
      <c r="E5" s="745">
        <v>357667.43</v>
      </c>
      <c r="F5" s="813">
        <f t="shared" ref="F5:F21" si="2">IF(ISBLANK(E5),"----",E5-$D5)</f>
        <v>3769.3099999999977</v>
      </c>
      <c r="G5" s="745" t="s">
        <v>703</v>
      </c>
      <c r="H5" s="813" t="str">
        <f t="shared" si="0"/>
        <v>----</v>
      </c>
      <c r="I5" s="740" t="s">
        <v>703</v>
      </c>
      <c r="J5" s="814" t="str">
        <f t="shared" si="1"/>
        <v>----</v>
      </c>
    </row>
    <row r="6" spans="1:10">
      <c r="A6" s="88">
        <v>44243</v>
      </c>
      <c r="B6" s="101" t="s">
        <v>392</v>
      </c>
      <c r="C6" s="790">
        <v>629906.27</v>
      </c>
      <c r="D6" s="794">
        <f>C6</f>
        <v>629906.27</v>
      </c>
      <c r="E6" s="801">
        <v>665581.79</v>
      </c>
      <c r="F6" s="813">
        <f t="shared" si="2"/>
        <v>35675.520000000019</v>
      </c>
      <c r="G6" s="801" t="s">
        <v>703</v>
      </c>
      <c r="H6" s="813" t="str">
        <f t="shared" si="0"/>
        <v>----</v>
      </c>
      <c r="I6" s="798" t="s">
        <v>703</v>
      </c>
      <c r="J6" s="814" t="str">
        <f t="shared" si="1"/>
        <v>----</v>
      </c>
    </row>
    <row r="7" spans="1:10">
      <c r="A7" s="102">
        <v>44880</v>
      </c>
      <c r="B7" s="103" t="s">
        <v>588</v>
      </c>
      <c r="C7" s="776">
        <v>503343.15</v>
      </c>
      <c r="D7" s="735">
        <f>C7</f>
        <v>503343.15</v>
      </c>
      <c r="E7" s="745">
        <v>512828.15999999997</v>
      </c>
      <c r="F7" s="813">
        <f t="shared" si="2"/>
        <v>9485.0099999999511</v>
      </c>
      <c r="G7" s="745" t="s">
        <v>703</v>
      </c>
      <c r="H7" s="813" t="str">
        <f t="shared" si="0"/>
        <v>----</v>
      </c>
      <c r="I7" s="740" t="s">
        <v>703</v>
      </c>
      <c r="J7" s="814" t="str">
        <f t="shared" si="1"/>
        <v>----</v>
      </c>
    </row>
    <row r="8" spans="1:10">
      <c r="A8" s="102">
        <v>44915</v>
      </c>
      <c r="B8" s="103" t="s">
        <v>603</v>
      </c>
      <c r="C8" s="776">
        <v>882111.3</v>
      </c>
      <c r="D8" s="735">
        <f>C8</f>
        <v>882111.3</v>
      </c>
      <c r="E8" s="745"/>
      <c r="F8" s="813" t="str">
        <f t="shared" si="2"/>
        <v>----</v>
      </c>
      <c r="G8" s="745">
        <v>879803.49</v>
      </c>
      <c r="H8" s="813">
        <f t="shared" si="0"/>
        <v>-2307.8100000000559</v>
      </c>
      <c r="I8" s="740" t="s">
        <v>703</v>
      </c>
      <c r="J8" s="814" t="str">
        <f t="shared" si="1"/>
        <v>----</v>
      </c>
    </row>
    <row r="9" spans="1:10">
      <c r="A9" s="102">
        <v>45308</v>
      </c>
      <c r="B9" s="103" t="s">
        <v>716</v>
      </c>
      <c r="C9" s="776">
        <v>588907.06000000006</v>
      </c>
      <c r="D9" s="735">
        <f>C9</f>
        <v>588907.06000000006</v>
      </c>
      <c r="E9" s="745"/>
      <c r="F9" s="813" t="str">
        <f t="shared" si="2"/>
        <v>----</v>
      </c>
      <c r="G9" s="745"/>
      <c r="H9" s="813" t="str">
        <f t="shared" si="0"/>
        <v>----</v>
      </c>
      <c r="I9" s="740"/>
      <c r="J9" s="814" t="str">
        <f t="shared" si="1"/>
        <v>----</v>
      </c>
    </row>
    <row r="10" spans="1:10">
      <c r="A10" s="102">
        <v>45679</v>
      </c>
      <c r="B10" s="727" t="s">
        <v>822</v>
      </c>
      <c r="C10" s="776">
        <v>677380.07</v>
      </c>
      <c r="D10" s="735">
        <f>C10</f>
        <v>677380.07</v>
      </c>
      <c r="E10" s="745"/>
      <c r="F10" s="813" t="str">
        <f t="shared" si="2"/>
        <v>----</v>
      </c>
      <c r="G10" s="745"/>
      <c r="H10" s="813" t="str">
        <f t="shared" si="0"/>
        <v>----</v>
      </c>
      <c r="I10" s="740"/>
      <c r="J10" s="814" t="str">
        <f t="shared" si="1"/>
        <v>----</v>
      </c>
    </row>
    <row r="11" spans="1:10">
      <c r="A11" s="102"/>
      <c r="B11" s="103"/>
      <c r="C11" s="776"/>
      <c r="D11" s="735"/>
      <c r="E11" s="745"/>
      <c r="F11" s="813" t="str">
        <f t="shared" si="2"/>
        <v>----</v>
      </c>
      <c r="G11" s="745"/>
      <c r="H11" s="813" t="str">
        <f t="shared" si="0"/>
        <v>----</v>
      </c>
      <c r="I11" s="740"/>
      <c r="J11" s="814" t="str">
        <f t="shared" si="1"/>
        <v>----</v>
      </c>
    </row>
    <row r="12" spans="1:10">
      <c r="A12" s="102"/>
      <c r="B12" s="103"/>
      <c r="C12" s="776"/>
      <c r="D12" s="735"/>
      <c r="E12" s="745"/>
      <c r="F12" s="813" t="str">
        <f t="shared" si="2"/>
        <v>----</v>
      </c>
      <c r="G12" s="745"/>
      <c r="H12" s="813" t="str">
        <f t="shared" si="0"/>
        <v>----</v>
      </c>
      <c r="I12" s="740"/>
      <c r="J12" s="814" t="str">
        <f t="shared" si="1"/>
        <v>----</v>
      </c>
    </row>
    <row r="13" spans="1:10">
      <c r="A13" s="102"/>
      <c r="B13" s="103"/>
      <c r="C13" s="776"/>
      <c r="D13" s="735"/>
      <c r="E13" s="745"/>
      <c r="F13" s="813" t="str">
        <f t="shared" si="2"/>
        <v>----</v>
      </c>
      <c r="G13" s="745"/>
      <c r="H13" s="813" t="str">
        <f t="shared" si="0"/>
        <v>----</v>
      </c>
      <c r="I13" s="740"/>
      <c r="J13" s="814" t="str">
        <f t="shared" si="1"/>
        <v>----</v>
      </c>
    </row>
    <row r="14" spans="1:10">
      <c r="A14" s="102"/>
      <c r="B14" s="103"/>
      <c r="C14" s="776"/>
      <c r="D14" s="735"/>
      <c r="E14" s="745"/>
      <c r="F14" s="813" t="str">
        <f t="shared" si="2"/>
        <v>----</v>
      </c>
      <c r="G14" s="745"/>
      <c r="H14" s="813" t="str">
        <f t="shared" si="0"/>
        <v>----</v>
      </c>
      <c r="I14" s="740"/>
      <c r="J14" s="814" t="str">
        <f t="shared" si="1"/>
        <v>----</v>
      </c>
    </row>
    <row r="15" spans="1:10">
      <c r="A15" s="102"/>
      <c r="B15" s="103"/>
      <c r="C15" s="776"/>
      <c r="D15" s="735"/>
      <c r="E15" s="745"/>
      <c r="F15" s="813" t="str">
        <f t="shared" si="2"/>
        <v>----</v>
      </c>
      <c r="G15" s="745"/>
      <c r="H15" s="813" t="str">
        <f t="shared" si="0"/>
        <v>----</v>
      </c>
      <c r="I15" s="740"/>
      <c r="J15" s="814" t="str">
        <f t="shared" si="1"/>
        <v>----</v>
      </c>
    </row>
    <row r="16" spans="1:10">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02"/>
      <c r="B18" s="103"/>
      <c r="C18" s="776"/>
      <c r="D18" s="735"/>
      <c r="E18" s="745"/>
      <c r="F18" s="813" t="str">
        <f t="shared" si="2"/>
        <v>----</v>
      </c>
      <c r="G18" s="745"/>
      <c r="H18" s="813" t="str">
        <f t="shared" si="0"/>
        <v>----</v>
      </c>
      <c r="I18" s="740"/>
      <c r="J18" s="814" t="str">
        <f t="shared" si="1"/>
        <v>----</v>
      </c>
    </row>
    <row r="19" spans="1:10">
      <c r="A19" s="102"/>
      <c r="B19" s="103"/>
      <c r="C19" s="776"/>
      <c r="D19" s="735"/>
      <c r="E19" s="745"/>
      <c r="F19" s="813" t="str">
        <f t="shared" si="2"/>
        <v>----</v>
      </c>
      <c r="G19" s="745"/>
      <c r="H19" s="813" t="str">
        <f t="shared" si="0"/>
        <v>----</v>
      </c>
      <c r="I19" s="740"/>
      <c r="J19" s="814" t="str">
        <f t="shared" si="1"/>
        <v>----</v>
      </c>
    </row>
    <row r="20" spans="1:10">
      <c r="A20" s="116"/>
      <c r="B20" s="117"/>
      <c r="C20" s="779"/>
      <c r="D20" s="795"/>
      <c r="E20" s="746"/>
      <c r="F20" s="813" t="str">
        <f t="shared" si="2"/>
        <v>----</v>
      </c>
      <c r="G20" s="746"/>
      <c r="H20" s="813" t="str">
        <f t="shared" si="0"/>
        <v>----</v>
      </c>
      <c r="I20" s="741"/>
      <c r="J20" s="814" t="str">
        <f t="shared" si="1"/>
        <v>----</v>
      </c>
    </row>
    <row r="21" spans="1:10" ht="15.75" thickBot="1">
      <c r="A21" s="74"/>
      <c r="B21" s="75"/>
      <c r="C21" s="789"/>
      <c r="D21" s="796"/>
      <c r="E21" s="802"/>
      <c r="F21" s="807" t="str">
        <f t="shared" si="2"/>
        <v>----</v>
      </c>
      <c r="G21" s="802"/>
      <c r="H21" s="807" t="str">
        <f t="shared" si="0"/>
        <v>----</v>
      </c>
      <c r="I21" s="799"/>
      <c r="J21" s="808" t="str">
        <f t="shared" si="1"/>
        <v>----</v>
      </c>
    </row>
    <row r="22" spans="1:10" ht="15.75" thickBot="1">
      <c r="A22" s="27"/>
      <c r="B22" s="27"/>
      <c r="C22" s="820"/>
      <c r="D22" s="820"/>
      <c r="E22" s="820"/>
      <c r="F22" s="821">
        <f>SUM(F4:F21)</f>
        <v>49359.339999999967</v>
      </c>
      <c r="G22" s="820"/>
      <c r="H22" s="821">
        <f>SUM(H4:H21)</f>
        <v>-2307.8100000000559</v>
      </c>
      <c r="I22" s="820"/>
      <c r="J22" s="821">
        <f>SUM(J4:J21)</f>
        <v>0</v>
      </c>
    </row>
    <row r="23" spans="1:10">
      <c r="C23" s="725"/>
      <c r="D23" s="725"/>
      <c r="E23" s="725"/>
      <c r="F23" s="725"/>
      <c r="G23" s="725"/>
      <c r="H23" s="725"/>
      <c r="I23" s="725"/>
      <c r="J23" s="725"/>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4" bestFit="1" customWidth="1"/>
    <col min="6" max="6" width="14.7109375" style="434" customWidth="1"/>
    <col min="7" max="7" width="10.140625" style="434" bestFit="1" customWidth="1"/>
    <col min="8" max="8" width="14.7109375" style="434" customWidth="1"/>
    <col min="9" max="9" width="10.140625" bestFit="1" customWidth="1"/>
    <col min="10" max="10" width="14.7109375" customWidth="1"/>
  </cols>
  <sheetData>
    <row r="1" spans="1:10" ht="15.75" thickBot="1">
      <c r="A1" s="958" t="s">
        <v>152</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704</v>
      </c>
      <c r="G3" s="462" t="s">
        <v>121</v>
      </c>
      <c r="H3" s="470" t="s">
        <v>704</v>
      </c>
      <c r="I3" s="480" t="s">
        <v>121</v>
      </c>
      <c r="J3" s="25" t="s">
        <v>704</v>
      </c>
    </row>
    <row r="4" spans="1:10">
      <c r="A4" s="70">
        <v>43816</v>
      </c>
      <c r="B4" s="71" t="s">
        <v>648</v>
      </c>
      <c r="C4" s="72">
        <v>152538.85999999999</v>
      </c>
      <c r="D4" s="431">
        <f>C4</f>
        <v>152538.85999999999</v>
      </c>
      <c r="E4" s="471">
        <v>153305.99</v>
      </c>
      <c r="F4" s="472">
        <f>IF(ISBLANK(E4),"----",E4-$D4)</f>
        <v>767.13000000000466</v>
      </c>
      <c r="G4" s="471" t="s">
        <v>703</v>
      </c>
      <c r="H4" s="472" t="str">
        <f t="shared" ref="H4:H18" si="0">IF(OR(G4="Complete",ISBLANK(G4)),"----",G4-$D4)</f>
        <v>----</v>
      </c>
      <c r="I4" s="481" t="s">
        <v>703</v>
      </c>
      <c r="J4" s="73" t="str">
        <f t="shared" ref="J4:J18" si="1">IF(OR(I4="Complete",ISBLANK(I4)),"----",I4-$D4)</f>
        <v>----</v>
      </c>
    </row>
    <row r="5" spans="1:10">
      <c r="A5" s="88">
        <v>45097</v>
      </c>
      <c r="B5" s="101" t="s">
        <v>647</v>
      </c>
      <c r="C5" s="82">
        <v>523952.6</v>
      </c>
      <c r="D5" s="433">
        <f>C5</f>
        <v>523952.6</v>
      </c>
      <c r="E5" s="473"/>
      <c r="F5" s="474" t="str">
        <f t="shared" ref="F5:F18" si="2">IF(ISBLANK(E5),"----",E5-$D5)</f>
        <v>----</v>
      </c>
      <c r="G5" s="473"/>
      <c r="H5" s="474" t="str">
        <f t="shared" si="0"/>
        <v>----</v>
      </c>
      <c r="I5" s="486"/>
      <c r="J5" s="83" t="str">
        <f t="shared" si="1"/>
        <v>----</v>
      </c>
    </row>
    <row r="6" spans="1:10">
      <c r="A6" s="102"/>
      <c r="B6" s="103"/>
      <c r="C6" s="87"/>
      <c r="D6" s="468"/>
      <c r="E6" s="475"/>
      <c r="F6" s="487" t="str">
        <f t="shared" si="2"/>
        <v>----</v>
      </c>
      <c r="G6" s="475"/>
      <c r="H6" s="487" t="str">
        <f t="shared" si="0"/>
        <v>----</v>
      </c>
      <c r="I6" s="488"/>
      <c r="J6" s="115" t="str">
        <f t="shared" si="1"/>
        <v>----</v>
      </c>
    </row>
    <row r="7" spans="1:10">
      <c r="A7" s="102"/>
      <c r="B7" s="103"/>
      <c r="C7" s="87"/>
      <c r="D7" s="468"/>
      <c r="E7" s="475"/>
      <c r="F7" s="487" t="str">
        <f t="shared" si="2"/>
        <v>----</v>
      </c>
      <c r="G7" s="475"/>
      <c r="H7" s="487" t="str">
        <f t="shared" si="0"/>
        <v>----</v>
      </c>
      <c r="I7" s="488"/>
      <c r="J7" s="115" t="str">
        <f t="shared" si="1"/>
        <v>----</v>
      </c>
    </row>
    <row r="8" spans="1:10">
      <c r="A8" s="102"/>
      <c r="B8" s="103"/>
      <c r="C8" s="87"/>
      <c r="D8" s="468"/>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16"/>
      <c r="B17" s="117"/>
      <c r="C17" s="118"/>
      <c r="D17" s="469"/>
      <c r="E17" s="476"/>
      <c r="F17" s="489" t="str">
        <f t="shared" si="2"/>
        <v>----</v>
      </c>
      <c r="G17" s="476"/>
      <c r="H17" s="489" t="str">
        <f t="shared" si="0"/>
        <v>----</v>
      </c>
      <c r="I17" s="490"/>
      <c r="J17" s="119" t="str">
        <f t="shared" si="1"/>
        <v>----</v>
      </c>
    </row>
    <row r="18" spans="1:10" ht="15.75" thickBot="1">
      <c r="A18" s="74"/>
      <c r="B18" s="75"/>
      <c r="C18" s="76"/>
      <c r="D18" s="432"/>
      <c r="E18" s="477"/>
      <c r="F18" s="478" t="str">
        <f t="shared" si="2"/>
        <v>----</v>
      </c>
      <c r="G18" s="477"/>
      <c r="H18" s="478" t="str">
        <f t="shared" si="0"/>
        <v>----</v>
      </c>
      <c r="I18" s="483"/>
      <c r="J18" s="77" t="str">
        <f t="shared" si="1"/>
        <v>----</v>
      </c>
    </row>
    <row r="19" spans="1:10" ht="15.75" thickBot="1">
      <c r="A19" s="27"/>
      <c r="B19" s="27"/>
      <c r="C19" s="28"/>
      <c r="D19" s="28"/>
      <c r="E19" s="441"/>
      <c r="F19" s="443">
        <f>SUM(F4:F18)</f>
        <v>767.13000000000466</v>
      </c>
      <c r="G19" s="441"/>
      <c r="H19" s="443">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4" bestFit="1" customWidth="1"/>
    <col min="6" max="6" width="9.42578125" style="434" customWidth="1"/>
    <col min="7" max="7" width="10.7109375" style="434" bestFit="1" customWidth="1"/>
    <col min="8" max="8" width="9.42578125" style="434" customWidth="1"/>
    <col min="9" max="9" width="8.42578125" bestFit="1" customWidth="1"/>
    <col min="10" max="10" width="9.42578125" customWidth="1"/>
  </cols>
  <sheetData>
    <row r="1" spans="1:10" ht="15.75" thickBot="1">
      <c r="A1" s="958" t="s">
        <v>252</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44516</v>
      </c>
      <c r="B4" s="71" t="s">
        <v>463</v>
      </c>
      <c r="C4" s="787">
        <v>879845.12</v>
      </c>
      <c r="D4" s="793">
        <f>C4</f>
        <v>879845.12</v>
      </c>
      <c r="E4" s="800"/>
      <c r="F4" s="809" t="str">
        <f>IF(ISBLANK(E4),"----",E4-$D4)</f>
        <v>----</v>
      </c>
      <c r="G4" s="800">
        <v>883737.93</v>
      </c>
      <c r="H4" s="809">
        <f t="shared" ref="H4:H22" si="0">IF(OR(G4="Complete",ISBLANK(G4)),"----",G4-$D4)</f>
        <v>3892.8100000000559</v>
      </c>
      <c r="I4" s="797" t="s">
        <v>703</v>
      </c>
      <c r="J4" s="810" t="str">
        <f t="shared" ref="J4:J22" si="1">IF(OR(I4="Complete",ISBLANK(I4)),"----",I4-$D4)</f>
        <v>----</v>
      </c>
    </row>
    <row r="5" spans="1:10">
      <c r="A5" s="88">
        <v>44733</v>
      </c>
      <c r="B5" s="101" t="s">
        <v>536</v>
      </c>
      <c r="C5" s="790">
        <v>591209.19999999995</v>
      </c>
      <c r="D5" s="794">
        <f>C5</f>
        <v>591209.19999999995</v>
      </c>
      <c r="E5" s="801"/>
      <c r="F5" s="813" t="str">
        <f t="shared" ref="F5:F22" si="2">IF(ISBLANK(E5),"----",E5-$D5)</f>
        <v>----</v>
      </c>
      <c r="G5" s="801"/>
      <c r="H5" s="813" t="str">
        <f t="shared" si="0"/>
        <v>----</v>
      </c>
      <c r="I5" s="798"/>
      <c r="J5" s="814" t="str">
        <f t="shared" si="1"/>
        <v>----</v>
      </c>
    </row>
    <row r="6" spans="1:10">
      <c r="A6" s="88">
        <v>45342</v>
      </c>
      <c r="B6" s="450" t="s">
        <v>725</v>
      </c>
      <c r="C6" s="790">
        <v>919921.77</v>
      </c>
      <c r="D6" s="794">
        <f>C6</f>
        <v>919921.77</v>
      </c>
      <c r="E6" s="801"/>
      <c r="F6" s="813" t="str">
        <f t="shared" si="2"/>
        <v>----</v>
      </c>
      <c r="G6" s="801"/>
      <c r="H6" s="813" t="str">
        <f t="shared" si="0"/>
        <v>----</v>
      </c>
      <c r="I6" s="798"/>
      <c r="J6" s="814" t="str">
        <f t="shared" si="1"/>
        <v>----</v>
      </c>
    </row>
    <row r="7" spans="1:10">
      <c r="A7" s="88">
        <v>45706</v>
      </c>
      <c r="B7" s="703" t="s">
        <v>833</v>
      </c>
      <c r="C7" s="790">
        <v>1491087.15</v>
      </c>
      <c r="D7" s="794">
        <f>C7</f>
        <v>1491087.15</v>
      </c>
      <c r="E7" s="801"/>
      <c r="F7" s="813" t="str">
        <f t="shared" si="2"/>
        <v>----</v>
      </c>
      <c r="G7" s="801"/>
      <c r="H7" s="813" t="str">
        <f t="shared" si="0"/>
        <v>----</v>
      </c>
      <c r="I7" s="798"/>
      <c r="J7" s="814" t="str">
        <f t="shared" si="1"/>
        <v>----</v>
      </c>
    </row>
    <row r="8" spans="1:10">
      <c r="A8" s="88"/>
      <c r="B8" s="101"/>
      <c r="C8" s="790"/>
      <c r="D8" s="794"/>
      <c r="E8" s="801"/>
      <c r="F8" s="813" t="str">
        <f t="shared" si="2"/>
        <v>----</v>
      </c>
      <c r="G8" s="801"/>
      <c r="H8" s="813" t="str">
        <f t="shared" si="0"/>
        <v>----</v>
      </c>
      <c r="I8" s="798"/>
      <c r="J8" s="814" t="str">
        <f t="shared" si="1"/>
        <v>----</v>
      </c>
    </row>
    <row r="9" spans="1:10">
      <c r="A9" s="88"/>
      <c r="B9" s="101"/>
      <c r="C9" s="790"/>
      <c r="D9" s="794"/>
      <c r="E9" s="801"/>
      <c r="F9" s="813" t="str">
        <f t="shared" si="2"/>
        <v>----</v>
      </c>
      <c r="G9" s="801"/>
      <c r="H9" s="813" t="str">
        <f t="shared" si="0"/>
        <v>----</v>
      </c>
      <c r="I9" s="798"/>
      <c r="J9" s="814" t="str">
        <f t="shared" si="1"/>
        <v>----</v>
      </c>
    </row>
    <row r="10" spans="1:10">
      <c r="A10" s="88"/>
      <c r="B10" s="101"/>
      <c r="C10" s="790"/>
      <c r="D10" s="794"/>
      <c r="E10" s="801"/>
      <c r="F10" s="813" t="str">
        <f t="shared" si="2"/>
        <v>----</v>
      </c>
      <c r="G10" s="801"/>
      <c r="H10" s="813" t="str">
        <f t="shared" si="0"/>
        <v>----</v>
      </c>
      <c r="I10" s="798"/>
      <c r="J10" s="814" t="str">
        <f t="shared" si="1"/>
        <v>----</v>
      </c>
    </row>
    <row r="11" spans="1:10">
      <c r="A11" s="88"/>
      <c r="B11" s="101"/>
      <c r="C11" s="790"/>
      <c r="D11" s="794"/>
      <c r="E11" s="801"/>
      <c r="F11" s="813" t="str">
        <f t="shared" si="2"/>
        <v>----</v>
      </c>
      <c r="G11" s="801"/>
      <c r="H11" s="813" t="str">
        <f t="shared" si="0"/>
        <v>----</v>
      </c>
      <c r="I11" s="798"/>
      <c r="J11" s="814" t="str">
        <f t="shared" si="1"/>
        <v>----</v>
      </c>
    </row>
    <row r="12" spans="1:10">
      <c r="A12" s="88"/>
      <c r="B12" s="101"/>
      <c r="C12" s="790"/>
      <c r="D12" s="794"/>
      <c r="E12" s="801"/>
      <c r="F12" s="813" t="str">
        <f t="shared" si="2"/>
        <v>----</v>
      </c>
      <c r="G12" s="801"/>
      <c r="H12" s="813" t="str">
        <f t="shared" si="0"/>
        <v>----</v>
      </c>
      <c r="I12" s="798"/>
      <c r="J12" s="814" t="str">
        <f t="shared" si="1"/>
        <v>----</v>
      </c>
    </row>
    <row r="13" spans="1:10">
      <c r="A13" s="88"/>
      <c r="B13" s="101"/>
      <c r="C13" s="790"/>
      <c r="D13" s="794"/>
      <c r="E13" s="801"/>
      <c r="F13" s="813" t="str">
        <f t="shared" si="2"/>
        <v>----</v>
      </c>
      <c r="G13" s="801"/>
      <c r="H13" s="813" t="str">
        <f t="shared" si="0"/>
        <v>----</v>
      </c>
      <c r="I13" s="798"/>
      <c r="J13" s="814" t="str">
        <f t="shared" si="1"/>
        <v>----</v>
      </c>
    </row>
    <row r="14" spans="1:10">
      <c r="A14" s="88"/>
      <c r="B14" s="101"/>
      <c r="C14" s="790"/>
      <c r="D14" s="794"/>
      <c r="E14" s="801"/>
      <c r="F14" s="813" t="str">
        <f t="shared" si="2"/>
        <v>----</v>
      </c>
      <c r="G14" s="801"/>
      <c r="H14" s="813" t="str">
        <f t="shared" si="0"/>
        <v>----</v>
      </c>
      <c r="I14" s="798"/>
      <c r="J14" s="814" t="str">
        <f t="shared" si="1"/>
        <v>----</v>
      </c>
    </row>
    <row r="15" spans="1:10">
      <c r="A15" s="88"/>
      <c r="B15" s="101"/>
      <c r="C15" s="790"/>
      <c r="D15" s="794"/>
      <c r="E15" s="801"/>
      <c r="F15" s="813" t="str">
        <f t="shared" si="2"/>
        <v>----</v>
      </c>
      <c r="G15" s="801"/>
      <c r="H15" s="813" t="str">
        <f t="shared" si="0"/>
        <v>----</v>
      </c>
      <c r="I15" s="798"/>
      <c r="J15" s="814" t="str">
        <f t="shared" si="1"/>
        <v>----</v>
      </c>
    </row>
    <row r="16" spans="1:10">
      <c r="A16" s="88"/>
      <c r="B16" s="101"/>
      <c r="C16" s="790"/>
      <c r="D16" s="794"/>
      <c r="E16" s="801"/>
      <c r="F16" s="813" t="str">
        <f t="shared" si="2"/>
        <v>----</v>
      </c>
      <c r="G16" s="801"/>
      <c r="H16" s="813" t="str">
        <f t="shared" si="0"/>
        <v>----</v>
      </c>
      <c r="I16" s="798"/>
      <c r="J16" s="814" t="str">
        <f t="shared" si="1"/>
        <v>----</v>
      </c>
    </row>
    <row r="17" spans="1:10">
      <c r="A17" s="88"/>
      <c r="B17" s="101"/>
      <c r="C17" s="790"/>
      <c r="D17" s="794"/>
      <c r="E17" s="801"/>
      <c r="F17" s="813" t="str">
        <f t="shared" si="2"/>
        <v>----</v>
      </c>
      <c r="G17" s="801"/>
      <c r="H17" s="813" t="str">
        <f t="shared" si="0"/>
        <v>----</v>
      </c>
      <c r="I17" s="798"/>
      <c r="J17" s="814" t="str">
        <f t="shared" si="1"/>
        <v>----</v>
      </c>
    </row>
    <row r="18" spans="1:10">
      <c r="A18" s="88"/>
      <c r="B18" s="101"/>
      <c r="C18" s="790"/>
      <c r="D18" s="794"/>
      <c r="E18" s="801"/>
      <c r="F18" s="813" t="str">
        <f t="shared" si="2"/>
        <v>----</v>
      </c>
      <c r="G18" s="801"/>
      <c r="H18" s="813" t="str">
        <f t="shared" si="0"/>
        <v>----</v>
      </c>
      <c r="I18" s="798"/>
      <c r="J18" s="814" t="str">
        <f t="shared" si="1"/>
        <v>----</v>
      </c>
    </row>
    <row r="19" spans="1:10">
      <c r="A19" s="88"/>
      <c r="B19" s="101"/>
      <c r="C19" s="790"/>
      <c r="D19" s="794"/>
      <c r="E19" s="801"/>
      <c r="F19" s="813" t="str">
        <f t="shared" si="2"/>
        <v>----</v>
      </c>
      <c r="G19" s="801"/>
      <c r="H19" s="813" t="str">
        <f t="shared" si="0"/>
        <v>----</v>
      </c>
      <c r="I19" s="798"/>
      <c r="J19" s="814" t="str">
        <f t="shared" si="1"/>
        <v>----</v>
      </c>
    </row>
    <row r="20" spans="1:10">
      <c r="A20" s="88"/>
      <c r="B20" s="101"/>
      <c r="C20" s="790"/>
      <c r="D20" s="794"/>
      <c r="E20" s="801"/>
      <c r="F20" s="813" t="str">
        <f t="shared" si="2"/>
        <v>----</v>
      </c>
      <c r="G20" s="801"/>
      <c r="H20" s="813" t="str">
        <f t="shared" si="0"/>
        <v>----</v>
      </c>
      <c r="I20" s="798"/>
      <c r="J20" s="814" t="str">
        <f t="shared" si="1"/>
        <v>----</v>
      </c>
    </row>
    <row r="21" spans="1:10">
      <c r="A21" s="88"/>
      <c r="B21" s="101"/>
      <c r="C21" s="790"/>
      <c r="D21" s="794"/>
      <c r="E21" s="801"/>
      <c r="F21" s="813" t="str">
        <f t="shared" si="2"/>
        <v>----</v>
      </c>
      <c r="G21" s="801"/>
      <c r="H21" s="813" t="str">
        <f t="shared" si="0"/>
        <v>----</v>
      </c>
      <c r="I21" s="798"/>
      <c r="J21" s="814" t="str">
        <f t="shared" si="1"/>
        <v>----</v>
      </c>
    </row>
    <row r="22" spans="1:10" ht="15.75" thickBot="1">
      <c r="A22" s="74"/>
      <c r="B22" s="75"/>
      <c r="C22" s="789"/>
      <c r="D22" s="796"/>
      <c r="E22" s="802"/>
      <c r="F22" s="807" t="str">
        <f t="shared" si="2"/>
        <v>----</v>
      </c>
      <c r="G22" s="802"/>
      <c r="H22" s="807" t="str">
        <f t="shared" si="0"/>
        <v>----</v>
      </c>
      <c r="I22" s="799"/>
      <c r="J22" s="808" t="str">
        <f t="shared" si="1"/>
        <v>----</v>
      </c>
    </row>
    <row r="23" spans="1:10" ht="15.75" thickBot="1">
      <c r="A23" s="27"/>
      <c r="B23" s="27"/>
      <c r="C23" s="820"/>
      <c r="D23" s="820"/>
      <c r="E23" s="820"/>
      <c r="F23" s="821">
        <f>SUM(F4:F22)</f>
        <v>0</v>
      </c>
      <c r="G23" s="820"/>
      <c r="H23" s="821">
        <f>SUM(H4:H22)</f>
        <v>3892.8100000000559</v>
      </c>
      <c r="I23" s="820"/>
      <c r="J23" s="821">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4" bestFit="1" customWidth="1"/>
    <col min="6" max="6" width="13" style="434" customWidth="1"/>
    <col min="7" max="7" width="11.42578125" style="434" bestFit="1" customWidth="1"/>
    <col min="8" max="8" width="13" style="434" customWidth="1"/>
    <col min="9" max="9" width="11.42578125" bestFit="1" customWidth="1"/>
    <col min="10" max="10" width="13" customWidth="1"/>
  </cols>
  <sheetData>
    <row r="1" spans="1:11" ht="15.75" thickBot="1">
      <c r="A1" s="958" t="s">
        <v>175</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46.5" thickBot="1">
      <c r="A3" s="966"/>
      <c r="B3" s="968"/>
      <c r="C3" s="968"/>
      <c r="D3" s="970"/>
      <c r="E3" s="462" t="s">
        <v>121</v>
      </c>
      <c r="F3" s="470" t="s">
        <v>704</v>
      </c>
      <c r="G3" s="462" t="s">
        <v>121</v>
      </c>
      <c r="H3" s="470" t="s">
        <v>704</v>
      </c>
      <c r="I3" s="480" t="s">
        <v>121</v>
      </c>
      <c r="J3" s="25" t="s">
        <v>704</v>
      </c>
    </row>
    <row r="4" spans="1:11">
      <c r="A4" s="70">
        <v>43852</v>
      </c>
      <c r="B4" s="71" t="s">
        <v>209</v>
      </c>
      <c r="C4" s="787">
        <v>321780</v>
      </c>
      <c r="D4" s="793">
        <f>C4</f>
        <v>321780</v>
      </c>
      <c r="E4" s="800"/>
      <c r="F4" s="809" t="str">
        <f>IF(ISBLANK(E4),"----",E4-$D4)</f>
        <v>----</v>
      </c>
      <c r="G4" s="800"/>
      <c r="H4" s="809" t="str">
        <f t="shared" ref="H4:H19" si="0">IF(OR(G4="Complete",ISBLANK(G4)),"----",G4-$D4)</f>
        <v>----</v>
      </c>
      <c r="I4" s="797"/>
      <c r="J4" s="810" t="str">
        <f t="shared" ref="J4:J19" si="1">IF(OR(I4="Complete",ISBLANK(I4)),"----",I4-$D4)</f>
        <v>----</v>
      </c>
    </row>
    <row r="5" spans="1:11">
      <c r="A5" s="88">
        <v>43852</v>
      </c>
      <c r="B5" s="101" t="s">
        <v>210</v>
      </c>
      <c r="C5" s="790">
        <v>765828.4</v>
      </c>
      <c r="D5" s="794">
        <v>0</v>
      </c>
      <c r="E5" s="801"/>
      <c r="F5" s="813" t="str">
        <f t="shared" ref="F5:F19" si="2">IF(ISBLANK(E5),"----",E5-$D5)</f>
        <v>----</v>
      </c>
      <c r="G5" s="801"/>
      <c r="H5" s="813" t="str">
        <f t="shared" si="0"/>
        <v>----</v>
      </c>
      <c r="I5" s="798"/>
      <c r="J5" s="814" t="str">
        <f t="shared" si="1"/>
        <v>----</v>
      </c>
      <c r="K5" t="s">
        <v>211</v>
      </c>
    </row>
    <row r="6" spans="1:11">
      <c r="A6" s="102">
        <v>44216</v>
      </c>
      <c r="B6" s="103" t="s">
        <v>370</v>
      </c>
      <c r="C6" s="776">
        <v>634078.81999999995</v>
      </c>
      <c r="D6" s="794">
        <v>0</v>
      </c>
      <c r="E6" s="745"/>
      <c r="F6" s="813" t="str">
        <f t="shared" si="2"/>
        <v>----</v>
      </c>
      <c r="G6" s="745"/>
      <c r="H6" s="813" t="str">
        <f t="shared" si="0"/>
        <v>----</v>
      </c>
      <c r="I6" s="740"/>
      <c r="J6" s="814" t="str">
        <f t="shared" si="1"/>
        <v>----</v>
      </c>
      <c r="K6" t="s">
        <v>371</v>
      </c>
    </row>
    <row r="7" spans="1:11">
      <c r="A7" s="102">
        <v>44306</v>
      </c>
      <c r="B7" s="103" t="s">
        <v>421</v>
      </c>
      <c r="C7" s="776">
        <v>541859.67000000004</v>
      </c>
      <c r="D7" s="735">
        <v>214139.67</v>
      </c>
      <c r="E7" s="745">
        <v>211255.16</v>
      </c>
      <c r="F7" s="813">
        <f t="shared" si="2"/>
        <v>-2884.5100000000093</v>
      </c>
      <c r="G7" s="745" t="s">
        <v>703</v>
      </c>
      <c r="H7" s="813" t="str">
        <f t="shared" si="0"/>
        <v>----</v>
      </c>
      <c r="I7" s="740" t="s">
        <v>703</v>
      </c>
      <c r="J7" s="814" t="str">
        <f t="shared" si="1"/>
        <v>----</v>
      </c>
      <c r="K7" t="s">
        <v>422</v>
      </c>
    </row>
    <row r="8" spans="1:11">
      <c r="A8" s="102">
        <v>44580</v>
      </c>
      <c r="B8" s="103" t="s">
        <v>488</v>
      </c>
      <c r="C8" s="776">
        <v>1047234.25</v>
      </c>
      <c r="D8" s="735">
        <f t="shared" ref="D8:D13" si="3">C8</f>
        <v>1047234.25</v>
      </c>
      <c r="E8" s="745">
        <v>1046029.41</v>
      </c>
      <c r="F8" s="813">
        <f t="shared" si="2"/>
        <v>-1204.8399999999674</v>
      </c>
      <c r="G8" s="745" t="s">
        <v>703</v>
      </c>
      <c r="H8" s="813" t="str">
        <f t="shared" si="0"/>
        <v>----</v>
      </c>
      <c r="I8" s="740" t="s">
        <v>703</v>
      </c>
      <c r="J8" s="814" t="str">
        <f t="shared" si="1"/>
        <v>----</v>
      </c>
    </row>
    <row r="9" spans="1:11">
      <c r="A9" s="123">
        <v>44761</v>
      </c>
      <c r="B9" s="124" t="s">
        <v>545</v>
      </c>
      <c r="C9" s="732">
        <f>206085/2</f>
        <v>103042.5</v>
      </c>
      <c r="D9" s="749">
        <f t="shared" si="3"/>
        <v>103042.5</v>
      </c>
      <c r="E9" s="745">
        <v>104248.34</v>
      </c>
      <c r="F9" s="813">
        <f t="shared" si="2"/>
        <v>1205.8399999999965</v>
      </c>
      <c r="G9" s="745" t="s">
        <v>703</v>
      </c>
      <c r="H9" s="813" t="str">
        <f t="shared" si="0"/>
        <v>----</v>
      </c>
      <c r="I9" s="740" t="s">
        <v>703</v>
      </c>
      <c r="J9" s="814" t="str">
        <f t="shared" si="1"/>
        <v>----</v>
      </c>
      <c r="K9" t="s">
        <v>435</v>
      </c>
    </row>
    <row r="10" spans="1:11">
      <c r="A10" s="102">
        <v>44915</v>
      </c>
      <c r="B10" s="103" t="s">
        <v>604</v>
      </c>
      <c r="C10" s="776">
        <v>1146333.97</v>
      </c>
      <c r="D10" s="735">
        <f t="shared" si="3"/>
        <v>1146333.97</v>
      </c>
      <c r="E10" s="745"/>
      <c r="F10" s="813" t="str">
        <f t="shared" si="2"/>
        <v>----</v>
      </c>
      <c r="G10" s="745"/>
      <c r="H10" s="813" t="str">
        <f t="shared" si="0"/>
        <v>----</v>
      </c>
      <c r="I10" s="740"/>
      <c r="J10" s="814" t="str">
        <f t="shared" si="1"/>
        <v>----</v>
      </c>
    </row>
    <row r="11" spans="1:11">
      <c r="A11" s="102">
        <v>44944</v>
      </c>
      <c r="B11" s="103" t="s">
        <v>625</v>
      </c>
      <c r="C11" s="776">
        <v>723565.07</v>
      </c>
      <c r="D11" s="735">
        <f t="shared" si="3"/>
        <v>723565.07</v>
      </c>
      <c r="E11" s="745"/>
      <c r="F11" s="813" t="str">
        <f t="shared" si="2"/>
        <v>----</v>
      </c>
      <c r="G11" s="745"/>
      <c r="H11" s="813" t="str">
        <f t="shared" si="0"/>
        <v>----</v>
      </c>
      <c r="I11" s="740">
        <v>689037.52</v>
      </c>
      <c r="J11" s="814">
        <f t="shared" si="1"/>
        <v>-34527.54999999993</v>
      </c>
    </row>
    <row r="12" spans="1:11">
      <c r="A12" s="102">
        <v>45342</v>
      </c>
      <c r="B12" s="452" t="s">
        <v>726</v>
      </c>
      <c r="C12" s="776">
        <v>1215158.05</v>
      </c>
      <c r="D12" s="735">
        <f t="shared" si="3"/>
        <v>1215158.05</v>
      </c>
      <c r="E12" s="745"/>
      <c r="F12" s="813" t="str">
        <f t="shared" si="2"/>
        <v>----</v>
      </c>
      <c r="G12" s="745"/>
      <c r="H12" s="813" t="str">
        <f t="shared" si="0"/>
        <v>----</v>
      </c>
      <c r="I12" s="740"/>
      <c r="J12" s="814" t="str">
        <f t="shared" si="1"/>
        <v>----</v>
      </c>
    </row>
    <row r="13" spans="1:11">
      <c r="A13" s="102">
        <v>45679</v>
      </c>
      <c r="B13" s="727" t="s">
        <v>823</v>
      </c>
      <c r="C13" s="776">
        <v>462557.64</v>
      </c>
      <c r="D13" s="735">
        <f t="shared" si="3"/>
        <v>462557.64</v>
      </c>
      <c r="E13" s="745"/>
      <c r="F13" s="813" t="str">
        <f t="shared" si="2"/>
        <v>----</v>
      </c>
      <c r="G13" s="745"/>
      <c r="H13" s="813" t="str">
        <f t="shared" si="0"/>
        <v>----</v>
      </c>
      <c r="I13" s="740"/>
      <c r="J13" s="814" t="str">
        <f t="shared" si="1"/>
        <v>----</v>
      </c>
    </row>
    <row r="14" spans="1:11">
      <c r="A14" s="102">
        <v>45706</v>
      </c>
      <c r="B14" s="727" t="s">
        <v>834</v>
      </c>
      <c r="C14" s="776">
        <v>1599694.69</v>
      </c>
      <c r="D14" s="735">
        <f>C14</f>
        <v>1599694.69</v>
      </c>
      <c r="E14" s="745"/>
      <c r="F14" s="813" t="str">
        <f t="shared" si="2"/>
        <v>----</v>
      </c>
      <c r="G14" s="745"/>
      <c r="H14" s="813" t="str">
        <f t="shared" si="0"/>
        <v>----</v>
      </c>
      <c r="I14" s="740"/>
      <c r="J14" s="814" t="str">
        <f t="shared" si="1"/>
        <v>----</v>
      </c>
    </row>
    <row r="15" spans="1:11">
      <c r="A15" s="102"/>
      <c r="B15" s="103"/>
      <c r="C15" s="776"/>
      <c r="D15" s="735"/>
      <c r="E15" s="745"/>
      <c r="F15" s="813" t="str">
        <f t="shared" si="2"/>
        <v>----</v>
      </c>
      <c r="G15" s="745"/>
      <c r="H15" s="813" t="str">
        <f t="shared" si="0"/>
        <v>----</v>
      </c>
      <c r="I15" s="740"/>
      <c r="J15" s="814" t="str">
        <f t="shared" si="1"/>
        <v>----</v>
      </c>
    </row>
    <row r="16" spans="1:11">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16"/>
      <c r="B18" s="117"/>
      <c r="C18" s="779"/>
      <c r="D18" s="795"/>
      <c r="E18" s="746"/>
      <c r="F18" s="813" t="str">
        <f t="shared" si="2"/>
        <v>----</v>
      </c>
      <c r="G18" s="746"/>
      <c r="H18" s="813" t="str">
        <f t="shared" si="0"/>
        <v>----</v>
      </c>
      <c r="I18" s="741"/>
      <c r="J18" s="814" t="str">
        <f t="shared" si="1"/>
        <v>----</v>
      </c>
    </row>
    <row r="19" spans="1:10" ht="15.75" thickBot="1">
      <c r="A19" s="74"/>
      <c r="B19" s="75"/>
      <c r="C19" s="789"/>
      <c r="D19" s="796"/>
      <c r="E19" s="802"/>
      <c r="F19" s="807" t="str">
        <f t="shared" si="2"/>
        <v>----</v>
      </c>
      <c r="G19" s="802"/>
      <c r="H19" s="807" t="str">
        <f t="shared" si="0"/>
        <v>----</v>
      </c>
      <c r="I19" s="799"/>
      <c r="J19" s="808" t="str">
        <f t="shared" si="1"/>
        <v>----</v>
      </c>
    </row>
    <row r="20" spans="1:10" ht="15.75" thickBot="1">
      <c r="A20" s="27"/>
      <c r="B20" s="27"/>
      <c r="C20" s="820"/>
      <c r="D20" s="820"/>
      <c r="E20" s="820"/>
      <c r="F20" s="821">
        <f>SUM(F4:F19)</f>
        <v>-2883.5099999999802</v>
      </c>
      <c r="G20" s="820"/>
      <c r="H20" s="821">
        <f>SUM(H4:H19)</f>
        <v>0</v>
      </c>
      <c r="I20" s="820"/>
      <c r="J20" s="821">
        <f>SUM(J4:J19)</f>
        <v>-34527.54999999993</v>
      </c>
    </row>
    <row r="21" spans="1:10">
      <c r="C21" s="725"/>
      <c r="D21" s="725"/>
      <c r="E21" s="725"/>
      <c r="F21" s="725"/>
      <c r="G21" s="725"/>
      <c r="H21" s="725"/>
      <c r="I21" s="725"/>
      <c r="J21" s="725"/>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D13" sqref="D13"/>
    </sheetView>
  </sheetViews>
  <sheetFormatPr defaultRowHeight="15"/>
  <cols>
    <col min="2" max="2" width="22.7109375" bestFit="1" customWidth="1"/>
    <col min="3" max="4" width="10.7109375" bestFit="1" customWidth="1"/>
    <col min="5" max="5" width="10.7109375" style="434" bestFit="1" customWidth="1"/>
    <col min="6" max="6" width="11.5703125" style="434" customWidth="1"/>
    <col min="7" max="7" width="10.7109375" style="434" bestFit="1" customWidth="1"/>
    <col min="8" max="8" width="11.5703125" style="434" customWidth="1"/>
    <col min="9" max="9" width="10.7109375" bestFit="1" customWidth="1"/>
    <col min="10" max="10" width="11.5703125" customWidth="1"/>
  </cols>
  <sheetData>
    <row r="1" spans="1:21" ht="15.75" thickBot="1">
      <c r="A1" s="958" t="s">
        <v>136</v>
      </c>
      <c r="B1" s="959"/>
      <c r="C1" s="959"/>
      <c r="D1" s="959"/>
      <c r="E1" s="959"/>
      <c r="F1" s="959"/>
      <c r="G1" s="959"/>
      <c r="H1" s="959"/>
      <c r="I1" s="959"/>
      <c r="J1" s="960"/>
    </row>
    <row r="2" spans="1:21" s="434" customFormat="1">
      <c r="A2" s="965" t="s">
        <v>110</v>
      </c>
      <c r="B2" s="967" t="s">
        <v>111</v>
      </c>
      <c r="C2" s="967" t="s">
        <v>112</v>
      </c>
      <c r="D2" s="969" t="s">
        <v>120</v>
      </c>
      <c r="E2" s="963" t="s">
        <v>701</v>
      </c>
      <c r="F2" s="964"/>
      <c r="G2" s="963" t="s">
        <v>702</v>
      </c>
      <c r="H2" s="964"/>
      <c r="I2" s="938" t="s">
        <v>796</v>
      </c>
      <c r="J2" s="939"/>
    </row>
    <row r="3" spans="1:21" ht="57.75" thickBot="1">
      <c r="A3" s="966"/>
      <c r="B3" s="968"/>
      <c r="C3" s="968"/>
      <c r="D3" s="970"/>
      <c r="E3" s="462" t="s">
        <v>121</v>
      </c>
      <c r="F3" s="470" t="s">
        <v>704</v>
      </c>
      <c r="G3" s="462" t="s">
        <v>121</v>
      </c>
      <c r="H3" s="470" t="s">
        <v>704</v>
      </c>
      <c r="I3" s="480" t="s">
        <v>121</v>
      </c>
      <c r="J3" s="25" t="s">
        <v>704</v>
      </c>
    </row>
    <row r="4" spans="1:21">
      <c r="A4" s="70">
        <v>43788</v>
      </c>
      <c r="B4" s="71" t="s">
        <v>146</v>
      </c>
      <c r="C4" s="72">
        <v>249397</v>
      </c>
      <c r="D4" s="431">
        <v>199517.6</v>
      </c>
      <c r="E4" s="515">
        <v>198478.1</v>
      </c>
      <c r="F4" s="472">
        <f>IF(ISBLANK(E4),"----",E4-$D4)</f>
        <v>-1039.5</v>
      </c>
      <c r="G4" s="515" t="s">
        <v>703</v>
      </c>
      <c r="H4" s="472" t="str">
        <f t="shared" ref="H4:H23" si="0">IF(OR(G4="Complete",ISBLANK(G4)),"----",G4-$D4)</f>
        <v>----</v>
      </c>
      <c r="I4" s="511" t="s">
        <v>703</v>
      </c>
      <c r="J4" s="73" t="str">
        <f t="shared" ref="J4:J23" si="1">IF(OR(I4="Complete",ISBLANK(I4)),"----",I4-$D4)</f>
        <v>----</v>
      </c>
    </row>
    <row r="5" spans="1:21" s="415" customFormat="1">
      <c r="A5" s="419" t="s">
        <v>695</v>
      </c>
      <c r="B5" s="420" t="s">
        <v>146</v>
      </c>
      <c r="C5" s="418">
        <f>65544.6+7386.1</f>
        <v>72930.700000000012</v>
      </c>
      <c r="D5" s="507">
        <v>33267.599999999999</v>
      </c>
      <c r="E5" s="484">
        <v>58344.56</v>
      </c>
      <c r="F5" s="474">
        <f t="shared" ref="F5:F23" si="2">IF(ISBLANK(E5),"----",E5-$D5)</f>
        <v>25076.959999999999</v>
      </c>
      <c r="G5" s="484" t="s">
        <v>703</v>
      </c>
      <c r="H5" s="474" t="str">
        <f t="shared" si="0"/>
        <v>----</v>
      </c>
      <c r="I5" s="482" t="s">
        <v>703</v>
      </c>
      <c r="J5" s="417" t="str">
        <f t="shared" si="1"/>
        <v>----</v>
      </c>
      <c r="K5" s="416" t="s">
        <v>696</v>
      </c>
    </row>
    <row r="6" spans="1:21">
      <c r="A6" s="204">
        <v>43879</v>
      </c>
      <c r="B6" s="411" t="s">
        <v>215</v>
      </c>
      <c r="C6" s="205">
        <v>441592.87</v>
      </c>
      <c r="D6" s="508">
        <v>353274.3</v>
      </c>
      <c r="E6" s="516">
        <v>355135.81</v>
      </c>
      <c r="F6" s="517">
        <f t="shared" si="2"/>
        <v>1861.5100000000093</v>
      </c>
      <c r="G6" s="516" t="s">
        <v>703</v>
      </c>
      <c r="H6" s="517" t="str">
        <f t="shared" si="0"/>
        <v>----</v>
      </c>
      <c r="I6" s="512" t="s">
        <v>703</v>
      </c>
      <c r="J6" s="206" t="str">
        <f t="shared" si="1"/>
        <v>----</v>
      </c>
      <c r="K6" s="422"/>
    </row>
    <row r="7" spans="1:21" s="415" customFormat="1">
      <c r="A7" s="423" t="s">
        <v>695</v>
      </c>
      <c r="B7" s="111" t="s">
        <v>215</v>
      </c>
      <c r="C7" s="424">
        <v>71986.100000000006</v>
      </c>
      <c r="D7" s="509">
        <v>0</v>
      </c>
      <c r="E7" s="518">
        <v>57588.88</v>
      </c>
      <c r="F7" s="517">
        <f t="shared" si="2"/>
        <v>57588.88</v>
      </c>
      <c r="G7" s="518" t="s">
        <v>703</v>
      </c>
      <c r="H7" s="517" t="str">
        <f t="shared" si="0"/>
        <v>----</v>
      </c>
      <c r="I7" s="513" t="s">
        <v>703</v>
      </c>
      <c r="J7" s="206" t="str">
        <f t="shared" si="1"/>
        <v>----</v>
      </c>
      <c r="K7" s="421" t="s">
        <v>697</v>
      </c>
    </row>
    <row r="8" spans="1:21">
      <c r="A8" s="373">
        <v>44216</v>
      </c>
      <c r="B8" s="409" t="s">
        <v>372</v>
      </c>
      <c r="C8" s="425">
        <v>424079.6</v>
      </c>
      <c r="D8" s="510">
        <f>C8</f>
        <v>424079.6</v>
      </c>
      <c r="E8" s="519">
        <v>430785.47</v>
      </c>
      <c r="F8" s="517">
        <f t="shared" si="2"/>
        <v>6705.8699999999953</v>
      </c>
      <c r="G8" s="519" t="s">
        <v>703</v>
      </c>
      <c r="H8" s="517" t="str">
        <f t="shared" si="0"/>
        <v>----</v>
      </c>
      <c r="I8" s="514" t="s">
        <v>703</v>
      </c>
      <c r="J8" s="206" t="str">
        <f t="shared" si="1"/>
        <v>----</v>
      </c>
    </row>
    <row r="9" spans="1:21">
      <c r="A9" s="102">
        <v>44243</v>
      </c>
      <c r="B9" s="103" t="s">
        <v>394</v>
      </c>
      <c r="C9" s="87">
        <v>531449.79</v>
      </c>
      <c r="D9" s="468">
        <f>C9</f>
        <v>531449.79</v>
      </c>
      <c r="E9" s="475">
        <v>547859.80000000005</v>
      </c>
      <c r="F9" s="474">
        <f t="shared" si="2"/>
        <v>16410.010000000009</v>
      </c>
      <c r="G9" s="475" t="s">
        <v>703</v>
      </c>
      <c r="H9" s="474" t="str">
        <f t="shared" si="0"/>
        <v>----</v>
      </c>
      <c r="I9" s="488" t="s">
        <v>703</v>
      </c>
      <c r="J9" s="83" t="str">
        <f t="shared" si="1"/>
        <v>----</v>
      </c>
      <c r="P9" s="981" t="s">
        <v>698</v>
      </c>
      <c r="Q9" s="981"/>
      <c r="R9" s="981"/>
      <c r="S9" s="981"/>
      <c r="T9" s="981"/>
      <c r="U9" s="981"/>
    </row>
    <row r="10" spans="1:21">
      <c r="A10" s="102">
        <v>45342</v>
      </c>
      <c r="B10" s="452" t="s">
        <v>728</v>
      </c>
      <c r="C10" s="599">
        <v>760336.1</v>
      </c>
      <c r="D10" s="600">
        <f>C10</f>
        <v>760336.1</v>
      </c>
      <c r="E10" s="475"/>
      <c r="F10" s="474" t="str">
        <f t="shared" si="2"/>
        <v>----</v>
      </c>
      <c r="G10" s="475"/>
      <c r="H10" s="474" t="str">
        <f t="shared" si="0"/>
        <v>----</v>
      </c>
      <c r="I10" s="488"/>
      <c r="J10" s="83" t="str">
        <f t="shared" si="1"/>
        <v>----</v>
      </c>
      <c r="P10" s="981"/>
      <c r="Q10" s="981"/>
      <c r="R10" s="981"/>
      <c r="S10" s="981"/>
      <c r="T10" s="981"/>
      <c r="U10" s="981"/>
    </row>
    <row r="11" spans="1:21">
      <c r="A11" s="102">
        <v>45524</v>
      </c>
      <c r="B11" s="452" t="s">
        <v>769</v>
      </c>
      <c r="C11" s="599">
        <v>868293.75</v>
      </c>
      <c r="D11" s="600">
        <v>0</v>
      </c>
      <c r="E11" s="475"/>
      <c r="F11" s="474" t="str">
        <f t="shared" si="2"/>
        <v>----</v>
      </c>
      <c r="G11" s="475"/>
      <c r="H11" s="474" t="str">
        <f t="shared" si="0"/>
        <v>----</v>
      </c>
      <c r="I11" s="488"/>
      <c r="J11" s="83" t="str">
        <f t="shared" si="1"/>
        <v>----</v>
      </c>
      <c r="K11" t="s">
        <v>770</v>
      </c>
      <c r="P11" s="981"/>
      <c r="Q11" s="981"/>
      <c r="R11" s="981"/>
      <c r="S11" s="981"/>
      <c r="T11" s="981"/>
      <c r="U11" s="981"/>
    </row>
    <row r="12" spans="1:21">
      <c r="A12" s="102">
        <v>45916</v>
      </c>
      <c r="B12" s="727" t="s">
        <v>903</v>
      </c>
      <c r="C12" s="599">
        <v>634293.1</v>
      </c>
      <c r="D12" s="600">
        <f>C12</f>
        <v>634293.1</v>
      </c>
      <c r="E12" s="475"/>
      <c r="F12" s="474" t="str">
        <f t="shared" si="2"/>
        <v>----</v>
      </c>
      <c r="G12" s="475"/>
      <c r="H12" s="474" t="str">
        <f t="shared" si="0"/>
        <v>----</v>
      </c>
      <c r="I12" s="488"/>
      <c r="J12" s="83" t="str">
        <f t="shared" si="1"/>
        <v>----</v>
      </c>
      <c r="P12" s="981"/>
      <c r="Q12" s="981"/>
      <c r="R12" s="981"/>
      <c r="S12" s="981"/>
      <c r="T12" s="981"/>
      <c r="U12" s="981"/>
    </row>
    <row r="13" spans="1:21">
      <c r="A13" s="102"/>
      <c r="B13" s="103"/>
      <c r="C13" s="87"/>
      <c r="D13" s="468"/>
      <c r="E13" s="475"/>
      <c r="F13" s="474" t="str">
        <f t="shared" si="2"/>
        <v>----</v>
      </c>
      <c r="G13" s="475"/>
      <c r="H13" s="474" t="str">
        <f t="shared" si="0"/>
        <v>----</v>
      </c>
      <c r="I13" s="488"/>
      <c r="J13" s="83" t="str">
        <f t="shared" si="1"/>
        <v>----</v>
      </c>
      <c r="P13" s="981"/>
      <c r="Q13" s="981"/>
      <c r="R13" s="981"/>
      <c r="S13" s="981"/>
      <c r="T13" s="981"/>
      <c r="U13" s="981"/>
    </row>
    <row r="14" spans="1:21">
      <c r="A14" s="102"/>
      <c r="B14" s="103"/>
      <c r="C14" s="87"/>
      <c r="D14" s="468"/>
      <c r="E14" s="475"/>
      <c r="F14" s="474" t="str">
        <f t="shared" si="2"/>
        <v>----</v>
      </c>
      <c r="G14" s="475"/>
      <c r="H14" s="474" t="str">
        <f t="shared" si="0"/>
        <v>----</v>
      </c>
      <c r="I14" s="488"/>
      <c r="J14" s="83" t="str">
        <f t="shared" si="1"/>
        <v>----</v>
      </c>
      <c r="P14" s="981"/>
      <c r="Q14" s="981"/>
      <c r="R14" s="981"/>
      <c r="S14" s="981"/>
      <c r="T14" s="981"/>
      <c r="U14" s="981"/>
    </row>
    <row r="15" spans="1:21">
      <c r="A15" s="102"/>
      <c r="B15" s="103"/>
      <c r="C15" s="87"/>
      <c r="D15" s="468"/>
      <c r="E15" s="475"/>
      <c r="F15" s="474" t="str">
        <f t="shared" si="2"/>
        <v>----</v>
      </c>
      <c r="G15" s="475"/>
      <c r="H15" s="474" t="str">
        <f t="shared" si="0"/>
        <v>----</v>
      </c>
      <c r="I15" s="488"/>
      <c r="J15" s="83" t="str">
        <f t="shared" si="1"/>
        <v>----</v>
      </c>
      <c r="P15" s="981"/>
      <c r="Q15" s="981"/>
      <c r="R15" s="981"/>
      <c r="S15" s="981"/>
      <c r="T15" s="981"/>
      <c r="U15" s="981"/>
    </row>
    <row r="16" spans="1:21">
      <c r="A16" s="102"/>
      <c r="B16" s="103"/>
      <c r="C16" s="87"/>
      <c r="D16" s="468"/>
      <c r="E16" s="475"/>
      <c r="F16" s="474" t="str">
        <f t="shared" si="2"/>
        <v>----</v>
      </c>
      <c r="G16" s="475"/>
      <c r="H16" s="474" t="str">
        <f t="shared" si="0"/>
        <v>----</v>
      </c>
      <c r="I16" s="488"/>
      <c r="J16" s="83" t="str">
        <f t="shared" si="1"/>
        <v>----</v>
      </c>
      <c r="P16" s="981"/>
      <c r="Q16" s="981"/>
      <c r="R16" s="981"/>
      <c r="S16" s="981"/>
      <c r="T16" s="981"/>
      <c r="U16" s="981"/>
    </row>
    <row r="17" spans="1:21">
      <c r="A17" s="102"/>
      <c r="B17" s="103"/>
      <c r="C17" s="87"/>
      <c r="D17" s="468"/>
      <c r="E17" s="475"/>
      <c r="F17" s="474" t="str">
        <f t="shared" si="2"/>
        <v>----</v>
      </c>
      <c r="G17" s="475"/>
      <c r="H17" s="474" t="str">
        <f t="shared" si="0"/>
        <v>----</v>
      </c>
      <c r="I17" s="488"/>
      <c r="J17" s="83" t="str">
        <f t="shared" si="1"/>
        <v>----</v>
      </c>
      <c r="P17" s="981"/>
      <c r="Q17" s="981"/>
      <c r="R17" s="981"/>
      <c r="S17" s="981"/>
      <c r="T17" s="981"/>
      <c r="U17" s="981"/>
    </row>
    <row r="18" spans="1:21">
      <c r="A18" s="102"/>
      <c r="B18" s="103"/>
      <c r="C18" s="87"/>
      <c r="D18" s="468"/>
      <c r="E18" s="475"/>
      <c r="F18" s="474" t="str">
        <f t="shared" si="2"/>
        <v>----</v>
      </c>
      <c r="G18" s="475"/>
      <c r="H18" s="474" t="str">
        <f t="shared" si="0"/>
        <v>----</v>
      </c>
      <c r="I18" s="488"/>
      <c r="J18" s="83" t="str">
        <f t="shared" si="1"/>
        <v>----</v>
      </c>
      <c r="P18" s="981"/>
      <c r="Q18" s="981"/>
      <c r="R18" s="981"/>
      <c r="S18" s="981"/>
      <c r="T18" s="981"/>
      <c r="U18" s="981"/>
    </row>
    <row r="19" spans="1:21">
      <c r="A19" s="102"/>
      <c r="B19" s="103"/>
      <c r="C19" s="87"/>
      <c r="D19" s="468"/>
      <c r="E19" s="475"/>
      <c r="F19" s="474" t="str">
        <f t="shared" si="2"/>
        <v>----</v>
      </c>
      <c r="G19" s="475"/>
      <c r="H19" s="474" t="str">
        <f t="shared" si="0"/>
        <v>----</v>
      </c>
      <c r="I19" s="488"/>
      <c r="J19" s="83" t="str">
        <f t="shared" si="1"/>
        <v>----</v>
      </c>
      <c r="P19" s="981"/>
      <c r="Q19" s="981"/>
      <c r="R19" s="981"/>
      <c r="S19" s="981"/>
      <c r="T19" s="981"/>
      <c r="U19" s="981"/>
    </row>
    <row r="20" spans="1:21">
      <c r="A20" s="102"/>
      <c r="B20" s="103"/>
      <c r="C20" s="87"/>
      <c r="D20" s="468"/>
      <c r="E20" s="475"/>
      <c r="F20" s="474" t="str">
        <f t="shared" si="2"/>
        <v>----</v>
      </c>
      <c r="G20" s="475"/>
      <c r="H20" s="474" t="str">
        <f t="shared" si="0"/>
        <v>----</v>
      </c>
      <c r="I20" s="488"/>
      <c r="J20" s="83" t="str">
        <f t="shared" si="1"/>
        <v>----</v>
      </c>
      <c r="P20" s="981"/>
      <c r="Q20" s="981"/>
      <c r="R20" s="981"/>
      <c r="S20" s="981"/>
      <c r="T20" s="981"/>
      <c r="U20" s="981"/>
    </row>
    <row r="21" spans="1:21">
      <c r="A21" s="102"/>
      <c r="B21" s="103"/>
      <c r="C21" s="87"/>
      <c r="D21" s="468"/>
      <c r="E21" s="475"/>
      <c r="F21" s="474" t="str">
        <f t="shared" si="2"/>
        <v>----</v>
      </c>
      <c r="G21" s="475"/>
      <c r="H21" s="474" t="str">
        <f t="shared" si="0"/>
        <v>----</v>
      </c>
      <c r="I21" s="488"/>
      <c r="J21" s="83" t="str">
        <f t="shared" si="1"/>
        <v>----</v>
      </c>
      <c r="P21" s="981"/>
      <c r="Q21" s="981"/>
      <c r="R21" s="981"/>
      <c r="S21" s="981"/>
      <c r="T21" s="981"/>
      <c r="U21" s="981"/>
    </row>
    <row r="22" spans="1:21">
      <c r="A22" s="116"/>
      <c r="B22" s="117"/>
      <c r="C22" s="118"/>
      <c r="D22" s="469"/>
      <c r="E22" s="476"/>
      <c r="F22" s="474" t="str">
        <f t="shared" si="2"/>
        <v>----</v>
      </c>
      <c r="G22" s="476"/>
      <c r="H22" s="474" t="str">
        <f t="shared" si="0"/>
        <v>----</v>
      </c>
      <c r="I22" s="490"/>
      <c r="J22" s="83" t="str">
        <f t="shared" si="1"/>
        <v>----</v>
      </c>
    </row>
    <row r="23" spans="1:21" ht="15.75" thickBot="1">
      <c r="A23" s="74"/>
      <c r="B23" s="75"/>
      <c r="C23" s="76"/>
      <c r="D23" s="432"/>
      <c r="E23" s="477"/>
      <c r="F23" s="520" t="str">
        <f t="shared" si="2"/>
        <v>----</v>
      </c>
      <c r="G23" s="477"/>
      <c r="H23" s="478" t="str">
        <f t="shared" si="0"/>
        <v>----</v>
      </c>
      <c r="I23" s="483"/>
      <c r="J23" s="521" t="str">
        <f t="shared" si="1"/>
        <v>----</v>
      </c>
    </row>
    <row r="24" spans="1:21" ht="15.75" thickBot="1">
      <c r="A24" s="27"/>
      <c r="B24" s="27"/>
      <c r="C24" s="28"/>
      <c r="D24" s="28"/>
      <c r="E24" s="441"/>
      <c r="F24" s="522">
        <f>SUM(F4:F23)</f>
        <v>106603.73000000001</v>
      </c>
      <c r="G24" s="441"/>
      <c r="H24" s="522">
        <f>SUM(H4:H23)</f>
        <v>0</v>
      </c>
      <c r="I24" s="28"/>
      <c r="J24" s="522">
        <f>SUM(J4:J23)</f>
        <v>0</v>
      </c>
    </row>
    <row r="25" spans="1:21">
      <c r="A25" s="17"/>
      <c r="B25" s="17"/>
      <c r="C25" s="20"/>
      <c r="D25" s="20"/>
      <c r="E25" s="437"/>
      <c r="F25" s="437"/>
      <c r="G25" s="437"/>
      <c r="H25" s="437"/>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4"/>
    <col min="7" max="7" width="10.7109375" style="434" bestFit="1" customWidth="1"/>
    <col min="8" max="8" width="11.28515625" style="434" bestFit="1" customWidth="1"/>
  </cols>
  <sheetData>
    <row r="1" spans="1:10" ht="15.75" thickBot="1">
      <c r="A1" s="958" t="s">
        <v>253</v>
      </c>
      <c r="B1" s="959"/>
      <c r="C1" s="959"/>
      <c r="D1" s="959"/>
      <c r="E1" s="959"/>
      <c r="F1" s="959"/>
      <c r="G1" s="959"/>
      <c r="H1" s="959"/>
      <c r="I1" s="959"/>
      <c r="J1" s="960"/>
    </row>
    <row r="2" spans="1:10" s="434" customFormat="1">
      <c r="A2" s="965" t="s">
        <v>110</v>
      </c>
      <c r="B2" s="967" t="s">
        <v>111</v>
      </c>
      <c r="C2" s="967" t="s">
        <v>112</v>
      </c>
      <c r="D2" s="969" t="s">
        <v>247</v>
      </c>
      <c r="E2" s="963" t="s">
        <v>701</v>
      </c>
      <c r="F2" s="964"/>
      <c r="G2" s="963" t="s">
        <v>702</v>
      </c>
      <c r="H2" s="964"/>
      <c r="I2" s="938" t="s">
        <v>796</v>
      </c>
      <c r="J2" s="939"/>
    </row>
    <row r="3" spans="1:10" ht="69" thickBot="1">
      <c r="A3" s="966"/>
      <c r="B3" s="968"/>
      <c r="C3" s="968"/>
      <c r="D3" s="970"/>
      <c r="E3" s="462" t="s">
        <v>121</v>
      </c>
      <c r="F3" s="470" t="s">
        <v>704</v>
      </c>
      <c r="G3" s="462" t="s">
        <v>121</v>
      </c>
      <c r="H3" s="470" t="s">
        <v>704</v>
      </c>
      <c r="I3" s="480" t="s">
        <v>121</v>
      </c>
      <c r="J3" s="25" t="s">
        <v>704</v>
      </c>
    </row>
    <row r="4" spans="1:10">
      <c r="A4" s="70">
        <v>44124</v>
      </c>
      <c r="B4" s="71" t="s">
        <v>310</v>
      </c>
      <c r="C4" s="72">
        <v>2218553.4500000002</v>
      </c>
      <c r="D4" s="431">
        <v>1040762.54</v>
      </c>
      <c r="E4" s="471"/>
      <c r="F4" s="472" t="str">
        <f>IF(ISBLANK(E4),"----",E4-$D4)</f>
        <v>----</v>
      </c>
      <c r="G4" s="471"/>
      <c r="H4" s="472" t="str">
        <f t="shared" ref="H4:H22" si="0">IF(OR(G4="Complete",ISBLANK(G4)),"----",G4-$D4)</f>
        <v>----</v>
      </c>
      <c r="I4" s="481"/>
      <c r="J4" s="73" t="str">
        <f t="shared" ref="J4:J22" si="1">IF(OR(I4="Complete",ISBLANK(I4)),"----",I4-$D4)</f>
        <v>----</v>
      </c>
    </row>
    <row r="5" spans="1:10">
      <c r="A5" s="88">
        <v>44334</v>
      </c>
      <c r="B5" s="101" t="s">
        <v>427</v>
      </c>
      <c r="C5" s="82">
        <v>481055.1</v>
      </c>
      <c r="D5" s="433">
        <f>C5</f>
        <v>481055.1</v>
      </c>
      <c r="E5" s="473"/>
      <c r="F5" s="474" t="str">
        <f t="shared" ref="F5:F22" si="2">IF(ISBLANK(E5),"----",E5-$D5)</f>
        <v>----</v>
      </c>
      <c r="G5" s="473">
        <v>362371.12</v>
      </c>
      <c r="H5" s="474">
        <f t="shared" si="0"/>
        <v>-118683.97999999998</v>
      </c>
      <c r="I5" s="486" t="s">
        <v>703</v>
      </c>
      <c r="J5" s="83" t="str">
        <f t="shared" si="1"/>
        <v>----</v>
      </c>
    </row>
    <row r="6" spans="1:10" s="434" customFormat="1">
      <c r="A6" s="451"/>
      <c r="B6" s="452"/>
      <c r="C6" s="448"/>
      <c r="D6" s="468"/>
      <c r="E6" s="475"/>
      <c r="F6" s="487" t="str">
        <f t="shared" si="2"/>
        <v>----</v>
      </c>
      <c r="G6" s="475"/>
      <c r="H6" s="487" t="str">
        <f t="shared" si="0"/>
        <v>----</v>
      </c>
      <c r="I6" s="488"/>
      <c r="J6" s="453" t="str">
        <f t="shared" si="1"/>
        <v>----</v>
      </c>
    </row>
    <row r="7" spans="1:10" s="434" customFormat="1">
      <c r="A7" s="451"/>
      <c r="B7" s="452"/>
      <c r="C7" s="448"/>
      <c r="D7" s="468"/>
      <c r="E7" s="475"/>
      <c r="F7" s="487" t="str">
        <f t="shared" si="2"/>
        <v>----</v>
      </c>
      <c r="G7" s="475"/>
      <c r="H7" s="487" t="str">
        <f t="shared" si="0"/>
        <v>----</v>
      </c>
      <c r="I7" s="488"/>
      <c r="J7" s="453" t="str">
        <f t="shared" si="1"/>
        <v>----</v>
      </c>
    </row>
    <row r="8" spans="1:10" s="434" customFormat="1">
      <c r="A8" s="451"/>
      <c r="B8" s="452"/>
      <c r="C8" s="448"/>
      <c r="D8" s="468"/>
      <c r="E8" s="475"/>
      <c r="F8" s="487" t="str">
        <f t="shared" si="2"/>
        <v>----</v>
      </c>
      <c r="G8" s="475"/>
      <c r="H8" s="487" t="str">
        <f t="shared" si="0"/>
        <v>----</v>
      </c>
      <c r="I8" s="488"/>
      <c r="J8" s="453" t="str">
        <f t="shared" si="1"/>
        <v>----</v>
      </c>
    </row>
    <row r="9" spans="1:10" s="434" customFormat="1">
      <c r="A9" s="451"/>
      <c r="B9" s="452"/>
      <c r="C9" s="448"/>
      <c r="D9" s="468"/>
      <c r="E9" s="475"/>
      <c r="F9" s="487" t="str">
        <f t="shared" si="2"/>
        <v>----</v>
      </c>
      <c r="G9" s="475"/>
      <c r="H9" s="487" t="str">
        <f t="shared" si="0"/>
        <v>----</v>
      </c>
      <c r="I9" s="488"/>
      <c r="J9" s="453" t="str">
        <f t="shared" si="1"/>
        <v>----</v>
      </c>
    </row>
    <row r="10" spans="1:10" s="434" customFormat="1">
      <c r="A10" s="451"/>
      <c r="B10" s="452"/>
      <c r="C10" s="448"/>
      <c r="D10" s="468"/>
      <c r="E10" s="475"/>
      <c r="F10" s="487" t="str">
        <f t="shared" si="2"/>
        <v>----</v>
      </c>
      <c r="G10" s="475"/>
      <c r="H10" s="487" t="str">
        <f t="shared" si="0"/>
        <v>----</v>
      </c>
      <c r="I10" s="488"/>
      <c r="J10" s="453" t="str">
        <f t="shared" si="1"/>
        <v>----</v>
      </c>
    </row>
    <row r="11" spans="1:10" s="434" customFormat="1">
      <c r="A11" s="451"/>
      <c r="B11" s="452"/>
      <c r="C11" s="448"/>
      <c r="D11" s="468"/>
      <c r="E11" s="475"/>
      <c r="F11" s="487" t="str">
        <f t="shared" si="2"/>
        <v>----</v>
      </c>
      <c r="G11" s="475"/>
      <c r="H11" s="487" t="str">
        <f t="shared" si="0"/>
        <v>----</v>
      </c>
      <c r="I11" s="488"/>
      <c r="J11" s="453" t="str">
        <f t="shared" si="1"/>
        <v>----</v>
      </c>
    </row>
    <row r="12" spans="1:10" s="434" customFormat="1">
      <c r="A12" s="451"/>
      <c r="B12" s="452"/>
      <c r="C12" s="448"/>
      <c r="D12" s="468"/>
      <c r="E12" s="475"/>
      <c r="F12" s="487" t="str">
        <f t="shared" si="2"/>
        <v>----</v>
      </c>
      <c r="G12" s="475"/>
      <c r="H12" s="487" t="str">
        <f t="shared" si="0"/>
        <v>----</v>
      </c>
      <c r="I12" s="488"/>
      <c r="J12" s="453" t="str">
        <f t="shared" si="1"/>
        <v>----</v>
      </c>
    </row>
    <row r="13" spans="1:10" s="434" customFormat="1">
      <c r="A13" s="451"/>
      <c r="B13" s="452"/>
      <c r="C13" s="448"/>
      <c r="D13" s="468"/>
      <c r="E13" s="475"/>
      <c r="F13" s="487" t="str">
        <f t="shared" si="2"/>
        <v>----</v>
      </c>
      <c r="G13" s="475"/>
      <c r="H13" s="487" t="str">
        <f t="shared" si="0"/>
        <v>----</v>
      </c>
      <c r="I13" s="488"/>
      <c r="J13" s="453" t="str">
        <f t="shared" si="1"/>
        <v>----</v>
      </c>
    </row>
    <row r="14" spans="1:10" s="434" customFormat="1">
      <c r="A14" s="451"/>
      <c r="B14" s="452"/>
      <c r="C14" s="448"/>
      <c r="D14" s="468"/>
      <c r="E14" s="475"/>
      <c r="F14" s="487" t="str">
        <f t="shared" si="2"/>
        <v>----</v>
      </c>
      <c r="G14" s="475"/>
      <c r="H14" s="487" t="str">
        <f t="shared" si="0"/>
        <v>----</v>
      </c>
      <c r="I14" s="488"/>
      <c r="J14" s="453" t="str">
        <f t="shared" si="1"/>
        <v>----</v>
      </c>
    </row>
    <row r="15" spans="1:10" s="434" customFormat="1">
      <c r="A15" s="451"/>
      <c r="B15" s="452"/>
      <c r="C15" s="448"/>
      <c r="D15" s="468"/>
      <c r="E15" s="475"/>
      <c r="F15" s="487" t="str">
        <f t="shared" si="2"/>
        <v>----</v>
      </c>
      <c r="G15" s="475"/>
      <c r="H15" s="487" t="str">
        <f t="shared" si="0"/>
        <v>----</v>
      </c>
      <c r="I15" s="488"/>
      <c r="J15" s="453" t="str">
        <f t="shared" si="1"/>
        <v>----</v>
      </c>
    </row>
    <row r="16" spans="1:10" s="434" customFormat="1">
      <c r="A16" s="451"/>
      <c r="B16" s="452"/>
      <c r="C16" s="448"/>
      <c r="D16" s="468"/>
      <c r="E16" s="475"/>
      <c r="F16" s="487" t="str">
        <f t="shared" si="2"/>
        <v>----</v>
      </c>
      <c r="G16" s="475"/>
      <c r="H16" s="487" t="str">
        <f t="shared" si="0"/>
        <v>----</v>
      </c>
      <c r="I16" s="488"/>
      <c r="J16" s="453" t="str">
        <f t="shared" si="1"/>
        <v>----</v>
      </c>
    </row>
    <row r="17" spans="1:10" s="434" customFormat="1">
      <c r="A17" s="451"/>
      <c r="B17" s="452"/>
      <c r="C17" s="448"/>
      <c r="D17" s="468"/>
      <c r="E17" s="475"/>
      <c r="F17" s="487" t="str">
        <f t="shared" si="2"/>
        <v>----</v>
      </c>
      <c r="G17" s="475"/>
      <c r="H17" s="487" t="str">
        <f t="shared" si="0"/>
        <v>----</v>
      </c>
      <c r="I17" s="488"/>
      <c r="J17" s="453" t="str">
        <f t="shared" si="1"/>
        <v>----</v>
      </c>
    </row>
    <row r="18" spans="1:10" s="434" customFormat="1">
      <c r="A18" s="451"/>
      <c r="B18" s="452"/>
      <c r="C18" s="448"/>
      <c r="D18" s="468"/>
      <c r="E18" s="475"/>
      <c r="F18" s="487" t="str">
        <f t="shared" si="2"/>
        <v>----</v>
      </c>
      <c r="G18" s="475"/>
      <c r="H18" s="487" t="str">
        <f t="shared" si="0"/>
        <v>----</v>
      </c>
      <c r="I18" s="488"/>
      <c r="J18" s="453" t="str">
        <f t="shared" si="1"/>
        <v>----</v>
      </c>
    </row>
    <row r="19" spans="1:10" s="434" customFormat="1">
      <c r="A19" s="451"/>
      <c r="B19" s="452"/>
      <c r="C19" s="448"/>
      <c r="D19" s="468"/>
      <c r="E19" s="475"/>
      <c r="F19" s="487" t="str">
        <f t="shared" si="2"/>
        <v>----</v>
      </c>
      <c r="G19" s="475"/>
      <c r="H19" s="487" t="str">
        <f t="shared" si="0"/>
        <v>----</v>
      </c>
      <c r="I19" s="488"/>
      <c r="J19" s="453" t="str">
        <f t="shared" si="1"/>
        <v>----</v>
      </c>
    </row>
    <row r="20" spans="1:10" s="434" customFormat="1">
      <c r="A20" s="451"/>
      <c r="B20" s="452"/>
      <c r="C20" s="448"/>
      <c r="D20" s="468"/>
      <c r="E20" s="475"/>
      <c r="F20" s="487" t="str">
        <f t="shared" si="2"/>
        <v>----</v>
      </c>
      <c r="G20" s="475"/>
      <c r="H20" s="487" t="str">
        <f t="shared" si="0"/>
        <v>----</v>
      </c>
      <c r="I20" s="488"/>
      <c r="J20" s="453" t="str">
        <f t="shared" si="1"/>
        <v>----</v>
      </c>
    </row>
    <row r="21" spans="1:10">
      <c r="A21" s="454"/>
      <c r="B21" s="455"/>
      <c r="C21" s="456"/>
      <c r="D21" s="469"/>
      <c r="E21" s="476"/>
      <c r="F21" s="489" t="str">
        <f t="shared" si="2"/>
        <v>----</v>
      </c>
      <c r="G21" s="476"/>
      <c r="H21" s="489" t="str">
        <f t="shared" si="0"/>
        <v>----</v>
      </c>
      <c r="I21" s="490"/>
      <c r="J21" s="457"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0</v>
      </c>
      <c r="G23" s="441"/>
      <c r="H23" s="443">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4" customWidth="1"/>
    <col min="6" max="6" width="15.140625" style="434" customWidth="1"/>
    <col min="7" max="7" width="11" style="434" customWidth="1"/>
    <col min="8" max="8" width="15.140625" style="434" customWidth="1"/>
    <col min="9" max="9" width="11" customWidth="1"/>
    <col min="10" max="10" width="15.140625" customWidth="1"/>
  </cols>
  <sheetData>
    <row r="1" spans="1:10" ht="15.75" thickBot="1">
      <c r="A1" s="958" t="s">
        <v>176</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8" customHeight="1" thickBot="1">
      <c r="A3" s="966"/>
      <c r="B3" s="968"/>
      <c r="C3" s="968"/>
      <c r="D3" s="980"/>
      <c r="E3" s="462" t="s">
        <v>121</v>
      </c>
      <c r="F3" s="470" t="s">
        <v>704</v>
      </c>
      <c r="G3" s="462" t="s">
        <v>121</v>
      </c>
      <c r="H3" s="470" t="s">
        <v>704</v>
      </c>
      <c r="I3" s="480" t="s">
        <v>121</v>
      </c>
      <c r="J3" s="25" t="s">
        <v>704</v>
      </c>
    </row>
    <row r="4" spans="1:10">
      <c r="A4" s="70">
        <v>43852</v>
      </c>
      <c r="B4" s="71" t="s">
        <v>208</v>
      </c>
      <c r="C4" s="72">
        <v>255991.95</v>
      </c>
      <c r="D4" s="431">
        <f>C4</f>
        <v>255991.95</v>
      </c>
      <c r="E4" s="471"/>
      <c r="F4" s="472" t="str">
        <f>IF(ISBLANK(E4),"----",E4-$D4)</f>
        <v>----</v>
      </c>
      <c r="G4" s="471"/>
      <c r="H4" s="472" t="str">
        <f t="shared" ref="H4:H21" si="0">IF(OR(G4="Complete",ISBLANK(G4)),"----",G4-$D4)</f>
        <v>----</v>
      </c>
      <c r="I4" s="481"/>
      <c r="J4" s="73" t="str">
        <f t="shared" ref="J4:J21" si="1">IF(OR(I4="Complete",ISBLANK(I4)),"----",I4-$D4)</f>
        <v>----</v>
      </c>
    </row>
    <row r="5" spans="1:10">
      <c r="A5" s="91">
        <v>43879</v>
      </c>
      <c r="B5" s="92" t="s">
        <v>216</v>
      </c>
      <c r="C5" s="84">
        <v>293635</v>
      </c>
      <c r="D5" s="479">
        <f>C5</f>
        <v>293635</v>
      </c>
      <c r="E5" s="484">
        <v>282077.57</v>
      </c>
      <c r="F5" s="523">
        <f t="shared" ref="F5:F21" si="2">IF(ISBLANK(E5),"----",E5-$D5)</f>
        <v>-11557.429999999993</v>
      </c>
      <c r="G5" s="484" t="s">
        <v>703</v>
      </c>
      <c r="H5" s="523" t="str">
        <f t="shared" si="0"/>
        <v>----</v>
      </c>
      <c r="I5" s="482" t="s">
        <v>703</v>
      </c>
      <c r="J5" s="140" t="str">
        <f t="shared" si="1"/>
        <v>----</v>
      </c>
    </row>
    <row r="6" spans="1:10">
      <c r="A6" s="102">
        <v>44580</v>
      </c>
      <c r="B6" s="103" t="s">
        <v>489</v>
      </c>
      <c r="C6" s="87">
        <v>883349.55</v>
      </c>
      <c r="D6" s="468">
        <v>549153.77</v>
      </c>
      <c r="E6" s="475"/>
      <c r="F6" s="523" t="str">
        <f t="shared" si="2"/>
        <v>----</v>
      </c>
      <c r="G6" s="475"/>
      <c r="H6" s="523" t="str">
        <f t="shared" si="0"/>
        <v>----</v>
      </c>
      <c r="I6" s="488"/>
      <c r="J6" s="140" t="str">
        <f t="shared" si="1"/>
        <v>----</v>
      </c>
    </row>
    <row r="7" spans="1:10">
      <c r="A7" s="102">
        <v>44880</v>
      </c>
      <c r="B7" s="103" t="s">
        <v>589</v>
      </c>
      <c r="C7" s="87">
        <v>415576</v>
      </c>
      <c r="D7" s="468">
        <f>C7</f>
        <v>415576</v>
      </c>
      <c r="E7" s="475">
        <v>413531.99</v>
      </c>
      <c r="F7" s="523">
        <f t="shared" si="2"/>
        <v>-2044.0100000000093</v>
      </c>
      <c r="G7" s="475" t="s">
        <v>703</v>
      </c>
      <c r="H7" s="523" t="str">
        <f t="shared" si="0"/>
        <v>----</v>
      </c>
      <c r="I7" s="488" t="s">
        <v>703</v>
      </c>
      <c r="J7" s="140" t="str">
        <f t="shared" si="1"/>
        <v>----</v>
      </c>
    </row>
    <row r="8" spans="1:10">
      <c r="A8" s="102">
        <v>45461</v>
      </c>
      <c r="B8" s="452" t="s">
        <v>754</v>
      </c>
      <c r="C8" s="372">
        <v>374905</v>
      </c>
      <c r="D8" s="565">
        <f>C8</f>
        <v>374905</v>
      </c>
      <c r="E8" s="475"/>
      <c r="F8" s="523" t="str">
        <f t="shared" si="2"/>
        <v>----</v>
      </c>
      <c r="G8" s="475"/>
      <c r="H8" s="523" t="str">
        <f t="shared" si="0"/>
        <v>----</v>
      </c>
      <c r="I8" s="488"/>
      <c r="J8" s="140" t="str">
        <f t="shared" si="1"/>
        <v>----</v>
      </c>
    </row>
    <row r="9" spans="1:10">
      <c r="A9" s="102">
        <v>45679</v>
      </c>
      <c r="B9" s="727" t="s">
        <v>814</v>
      </c>
      <c r="C9" s="599">
        <v>342999.76</v>
      </c>
      <c r="D9" s="600">
        <f>C9</f>
        <v>342999.76</v>
      </c>
      <c r="E9" s="475"/>
      <c r="F9" s="523" t="str">
        <f t="shared" si="2"/>
        <v>----</v>
      </c>
      <c r="G9" s="475"/>
      <c r="H9" s="523" t="str">
        <f t="shared" si="0"/>
        <v>----</v>
      </c>
      <c r="I9" s="488"/>
      <c r="J9" s="140" t="str">
        <f t="shared" si="1"/>
        <v>----</v>
      </c>
    </row>
    <row r="10" spans="1:10">
      <c r="A10" s="102"/>
      <c r="B10" s="103"/>
      <c r="C10" s="372"/>
      <c r="D10" s="565"/>
      <c r="E10" s="475"/>
      <c r="F10" s="523" t="str">
        <f t="shared" si="2"/>
        <v>----</v>
      </c>
      <c r="G10" s="475"/>
      <c r="H10" s="523" t="str">
        <f t="shared" si="0"/>
        <v>----</v>
      </c>
      <c r="I10" s="488"/>
      <c r="J10" s="140" t="str">
        <f t="shared" si="1"/>
        <v>----</v>
      </c>
    </row>
    <row r="11" spans="1:10">
      <c r="A11" s="102"/>
      <c r="B11" s="103"/>
      <c r="C11" s="372"/>
      <c r="D11" s="565"/>
      <c r="E11" s="475"/>
      <c r="F11" s="523" t="str">
        <f t="shared" si="2"/>
        <v>----</v>
      </c>
      <c r="G11" s="475"/>
      <c r="H11" s="523" t="str">
        <f t="shared" si="0"/>
        <v>----</v>
      </c>
      <c r="I11" s="488"/>
      <c r="J11" s="140" t="str">
        <f t="shared" si="1"/>
        <v>----</v>
      </c>
    </row>
    <row r="12" spans="1:10">
      <c r="A12" s="102"/>
      <c r="B12" s="103"/>
      <c r="C12" s="372"/>
      <c r="D12" s="565"/>
      <c r="E12" s="475"/>
      <c r="F12" s="523" t="str">
        <f t="shared" si="2"/>
        <v>----</v>
      </c>
      <c r="G12" s="475"/>
      <c r="H12" s="523" t="str">
        <f t="shared" si="0"/>
        <v>----</v>
      </c>
      <c r="I12" s="488"/>
      <c r="J12" s="140" t="str">
        <f t="shared" si="1"/>
        <v>----</v>
      </c>
    </row>
    <row r="13" spans="1:10">
      <c r="A13" s="102"/>
      <c r="B13" s="103"/>
      <c r="C13" s="372"/>
      <c r="D13" s="565"/>
      <c r="E13" s="475"/>
      <c r="F13" s="523" t="str">
        <f t="shared" si="2"/>
        <v>----</v>
      </c>
      <c r="G13" s="475"/>
      <c r="H13" s="523" t="str">
        <f t="shared" si="0"/>
        <v>----</v>
      </c>
      <c r="I13" s="488"/>
      <c r="J13" s="140" t="str">
        <f t="shared" si="1"/>
        <v>----</v>
      </c>
    </row>
    <row r="14" spans="1:10">
      <c r="A14" s="102"/>
      <c r="B14" s="103"/>
      <c r="C14" s="372"/>
      <c r="D14" s="565"/>
      <c r="E14" s="475"/>
      <c r="F14" s="523" t="str">
        <f t="shared" si="2"/>
        <v>----</v>
      </c>
      <c r="G14" s="475"/>
      <c r="H14" s="523" t="str">
        <f t="shared" si="0"/>
        <v>----</v>
      </c>
      <c r="I14" s="488"/>
      <c r="J14" s="140" t="str">
        <f t="shared" si="1"/>
        <v>----</v>
      </c>
    </row>
    <row r="15" spans="1:10">
      <c r="A15" s="102"/>
      <c r="B15" s="103"/>
      <c r="C15" s="372"/>
      <c r="D15" s="565"/>
      <c r="E15" s="475"/>
      <c r="F15" s="523" t="str">
        <f t="shared" si="2"/>
        <v>----</v>
      </c>
      <c r="G15" s="475"/>
      <c r="H15" s="523" t="str">
        <f t="shared" si="0"/>
        <v>----</v>
      </c>
      <c r="I15" s="488"/>
      <c r="J15" s="140" t="str">
        <f t="shared" si="1"/>
        <v>----</v>
      </c>
    </row>
    <row r="16" spans="1:10">
      <c r="A16" s="102"/>
      <c r="B16" s="103"/>
      <c r="C16" s="372"/>
      <c r="D16" s="565"/>
      <c r="E16" s="475"/>
      <c r="F16" s="523" t="str">
        <f t="shared" si="2"/>
        <v>----</v>
      </c>
      <c r="G16" s="475"/>
      <c r="H16" s="523" t="str">
        <f t="shared" si="0"/>
        <v>----</v>
      </c>
      <c r="I16" s="488"/>
      <c r="J16" s="140" t="str">
        <f t="shared" si="1"/>
        <v>----</v>
      </c>
    </row>
    <row r="17" spans="1:10">
      <c r="A17" s="102"/>
      <c r="B17" s="103"/>
      <c r="C17" s="372"/>
      <c r="D17" s="565"/>
      <c r="E17" s="475"/>
      <c r="F17" s="523" t="str">
        <f t="shared" si="2"/>
        <v>----</v>
      </c>
      <c r="G17" s="475"/>
      <c r="H17" s="523" t="str">
        <f t="shared" si="0"/>
        <v>----</v>
      </c>
      <c r="I17" s="488"/>
      <c r="J17" s="140" t="str">
        <f t="shared" si="1"/>
        <v>----</v>
      </c>
    </row>
    <row r="18" spans="1:10">
      <c r="A18" s="102"/>
      <c r="B18" s="103"/>
      <c r="C18" s="372"/>
      <c r="D18" s="565"/>
      <c r="E18" s="475"/>
      <c r="F18" s="523" t="str">
        <f t="shared" si="2"/>
        <v>----</v>
      </c>
      <c r="G18" s="475"/>
      <c r="H18" s="523" t="str">
        <f t="shared" si="0"/>
        <v>----</v>
      </c>
      <c r="I18" s="488"/>
      <c r="J18" s="140" t="str">
        <f t="shared" si="1"/>
        <v>----</v>
      </c>
    </row>
    <row r="19" spans="1:10">
      <c r="A19" s="102"/>
      <c r="B19" s="103"/>
      <c r="C19" s="372"/>
      <c r="D19" s="565"/>
      <c r="E19" s="475"/>
      <c r="F19" s="523" t="str">
        <f t="shared" si="2"/>
        <v>----</v>
      </c>
      <c r="G19" s="475"/>
      <c r="H19" s="523" t="str">
        <f t="shared" si="0"/>
        <v>----</v>
      </c>
      <c r="I19" s="488"/>
      <c r="J19" s="140" t="str">
        <f t="shared" si="1"/>
        <v>----</v>
      </c>
    </row>
    <row r="20" spans="1:10">
      <c r="A20" s="116"/>
      <c r="B20" s="117"/>
      <c r="C20" s="608"/>
      <c r="D20" s="609"/>
      <c r="E20" s="476"/>
      <c r="F20" s="523" t="str">
        <f t="shared" si="2"/>
        <v>----</v>
      </c>
      <c r="G20" s="476"/>
      <c r="H20" s="523" t="str">
        <f t="shared" si="0"/>
        <v>----</v>
      </c>
      <c r="I20" s="490"/>
      <c r="J20" s="140" t="str">
        <f t="shared" si="1"/>
        <v>----</v>
      </c>
    </row>
    <row r="21" spans="1:10" ht="15.75" thickBot="1">
      <c r="A21" s="74"/>
      <c r="B21" s="75"/>
      <c r="C21" s="375"/>
      <c r="D21" s="529"/>
      <c r="E21" s="477"/>
      <c r="F21" s="478" t="str">
        <f t="shared" si="2"/>
        <v>----</v>
      </c>
      <c r="G21" s="477"/>
      <c r="H21" s="478" t="str">
        <f t="shared" si="0"/>
        <v>----</v>
      </c>
      <c r="I21" s="483"/>
      <c r="J21" s="77" t="str">
        <f t="shared" si="1"/>
        <v>----</v>
      </c>
    </row>
    <row r="22" spans="1:10" ht="15.75" thickBot="1">
      <c r="A22" s="27"/>
      <c r="B22" s="27"/>
      <c r="C22" s="28"/>
      <c r="D22" s="28"/>
      <c r="E22" s="441"/>
      <c r="F22" s="443">
        <f>SUM(F4:F21)</f>
        <v>-13601.440000000002</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1" ht="15.75" thickBot="1">
      <c r="A1" s="958" t="s">
        <v>254</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44334</v>
      </c>
      <c r="B4" s="71" t="s">
        <v>428</v>
      </c>
      <c r="C4" s="704">
        <v>587812.59</v>
      </c>
      <c r="D4" s="707">
        <f>C4</f>
        <v>587812.59</v>
      </c>
      <c r="E4" s="713"/>
      <c r="F4" s="718" t="str">
        <f>IF(ISBLANK(E4),"----",E4-$D4)</f>
        <v>----</v>
      </c>
      <c r="G4" s="713">
        <v>596828.91</v>
      </c>
      <c r="H4" s="718">
        <f t="shared" ref="H4:H23" si="0">IF(OR(G4="Complete",ISBLANK(G4)),"----",G4-$D4)</f>
        <v>9016.3200000000652</v>
      </c>
      <c r="I4" s="710" t="s">
        <v>703</v>
      </c>
      <c r="J4" s="719" t="str">
        <f t="shared" ref="J4:J23" si="1">IF(OR(I4="Complete",ISBLANK(I4)),"----",I4-$D4)</f>
        <v>----</v>
      </c>
    </row>
    <row r="5" spans="1:11">
      <c r="A5" s="88">
        <v>44397</v>
      </c>
      <c r="B5" s="101" t="s">
        <v>438</v>
      </c>
      <c r="C5" s="706">
        <v>172277.9</v>
      </c>
      <c r="D5" s="708">
        <f>C5</f>
        <v>172277.9</v>
      </c>
      <c r="E5" s="714">
        <v>224668.51</v>
      </c>
      <c r="F5" s="720">
        <f t="shared" ref="F5:F23" si="2">IF(ISBLANK(E5),"----",E5-$D5)</f>
        <v>52390.610000000015</v>
      </c>
      <c r="G5" s="714" t="s">
        <v>703</v>
      </c>
      <c r="H5" s="720" t="str">
        <f t="shared" si="0"/>
        <v>----</v>
      </c>
      <c r="I5" s="711" t="s">
        <v>703</v>
      </c>
      <c r="J5" s="721" t="str">
        <f t="shared" si="1"/>
        <v>----</v>
      </c>
    </row>
    <row r="6" spans="1:11">
      <c r="A6" s="88">
        <v>45308</v>
      </c>
      <c r="B6" s="101" t="s">
        <v>713</v>
      </c>
      <c r="C6" s="706">
        <v>360074.6</v>
      </c>
      <c r="D6" s="708">
        <f>C6</f>
        <v>360074.6</v>
      </c>
      <c r="E6" s="714"/>
      <c r="F6" s="720" t="str">
        <f t="shared" si="2"/>
        <v>----</v>
      </c>
      <c r="G6" s="714"/>
      <c r="H6" s="720" t="str">
        <f t="shared" si="0"/>
        <v>----</v>
      </c>
      <c r="I6" s="711"/>
      <c r="J6" s="721" t="str">
        <f t="shared" si="1"/>
        <v>----</v>
      </c>
    </row>
    <row r="7" spans="1:11">
      <c r="A7" s="88">
        <f>Scott!A8</f>
        <v>45308</v>
      </c>
      <c r="B7" s="101" t="str">
        <f>Scott!B8</f>
        <v>BRS-C082(65)--60-82</v>
      </c>
      <c r="C7" s="706">
        <f>1/2*(2961328.63-500000-1500000)</f>
        <v>480664.31499999994</v>
      </c>
      <c r="D7" s="708">
        <f>Scott!D8</f>
        <v>480664.31499999994</v>
      </c>
      <c r="E7" s="714"/>
      <c r="F7" s="720" t="str">
        <f t="shared" si="2"/>
        <v>----</v>
      </c>
      <c r="G7" s="714"/>
      <c r="H7" s="720" t="str">
        <f t="shared" si="0"/>
        <v>----</v>
      </c>
      <c r="I7" s="711"/>
      <c r="J7" s="721" t="str">
        <f t="shared" si="1"/>
        <v>----</v>
      </c>
      <c r="K7" s="434" t="s">
        <v>722</v>
      </c>
    </row>
    <row r="8" spans="1:11">
      <c r="A8" s="702">
        <v>45643</v>
      </c>
      <c r="B8" s="703" t="s">
        <v>800</v>
      </c>
      <c r="C8" s="706">
        <v>2271892</v>
      </c>
      <c r="D8" s="708">
        <f>C8</f>
        <v>2271892</v>
      </c>
      <c r="E8" s="714"/>
      <c r="F8" s="720" t="str">
        <f t="shared" si="2"/>
        <v>----</v>
      </c>
      <c r="G8" s="714"/>
      <c r="H8" s="720" t="str">
        <f t="shared" si="0"/>
        <v>----</v>
      </c>
      <c r="I8" s="711"/>
      <c r="J8" s="721" t="str">
        <f t="shared" si="1"/>
        <v>----</v>
      </c>
    </row>
    <row r="9" spans="1:11">
      <c r="A9" s="88">
        <v>45706</v>
      </c>
      <c r="B9" s="703" t="s">
        <v>835</v>
      </c>
      <c r="C9" s="790">
        <v>281286</v>
      </c>
      <c r="D9" s="708">
        <f>C9</f>
        <v>281286</v>
      </c>
      <c r="E9" s="714"/>
      <c r="F9" s="720" t="str">
        <f t="shared" si="2"/>
        <v>----</v>
      </c>
      <c r="G9" s="714"/>
      <c r="H9" s="720" t="str">
        <f t="shared" si="0"/>
        <v>----</v>
      </c>
      <c r="I9" s="711"/>
      <c r="J9" s="721" t="str">
        <f t="shared" si="1"/>
        <v>----</v>
      </c>
    </row>
    <row r="10" spans="1:11">
      <c r="A10" s="88"/>
      <c r="B10" s="101"/>
      <c r="C10" s="706"/>
      <c r="D10" s="708"/>
      <c r="E10" s="714"/>
      <c r="F10" s="720" t="str">
        <f t="shared" si="2"/>
        <v>----</v>
      </c>
      <c r="G10" s="714"/>
      <c r="H10" s="720" t="str">
        <f t="shared" si="0"/>
        <v>----</v>
      </c>
      <c r="I10" s="711"/>
      <c r="J10" s="721" t="str">
        <f t="shared" si="1"/>
        <v>----</v>
      </c>
    </row>
    <row r="11" spans="1:11">
      <c r="A11" s="88"/>
      <c r="B11" s="101"/>
      <c r="C11" s="706"/>
      <c r="D11" s="708"/>
      <c r="E11" s="714"/>
      <c r="F11" s="720" t="str">
        <f t="shared" si="2"/>
        <v>----</v>
      </c>
      <c r="G11" s="714"/>
      <c r="H11" s="720" t="str">
        <f t="shared" si="0"/>
        <v>----</v>
      </c>
      <c r="I11" s="711"/>
      <c r="J11" s="721" t="str">
        <f t="shared" si="1"/>
        <v>----</v>
      </c>
    </row>
    <row r="12" spans="1:11">
      <c r="A12" s="88"/>
      <c r="B12" s="101"/>
      <c r="C12" s="706"/>
      <c r="D12" s="708"/>
      <c r="E12" s="714"/>
      <c r="F12" s="720" t="str">
        <f t="shared" si="2"/>
        <v>----</v>
      </c>
      <c r="G12" s="714"/>
      <c r="H12" s="720" t="str">
        <f t="shared" si="0"/>
        <v>----</v>
      </c>
      <c r="I12" s="711"/>
      <c r="J12" s="721" t="str">
        <f t="shared" si="1"/>
        <v>----</v>
      </c>
    </row>
    <row r="13" spans="1:11">
      <c r="A13" s="88"/>
      <c r="B13" s="101"/>
      <c r="C13" s="706"/>
      <c r="D13" s="708"/>
      <c r="E13" s="714"/>
      <c r="F13" s="720" t="str">
        <f t="shared" si="2"/>
        <v>----</v>
      </c>
      <c r="G13" s="714"/>
      <c r="H13" s="720" t="str">
        <f t="shared" si="0"/>
        <v>----</v>
      </c>
      <c r="I13" s="711"/>
      <c r="J13" s="721" t="str">
        <f t="shared" si="1"/>
        <v>----</v>
      </c>
    </row>
    <row r="14" spans="1:11">
      <c r="A14" s="88"/>
      <c r="B14" s="101"/>
      <c r="C14" s="706"/>
      <c r="D14" s="708"/>
      <c r="E14" s="714"/>
      <c r="F14" s="720" t="str">
        <f t="shared" si="2"/>
        <v>----</v>
      </c>
      <c r="G14" s="714"/>
      <c r="H14" s="720" t="str">
        <f t="shared" si="0"/>
        <v>----</v>
      </c>
      <c r="I14" s="711"/>
      <c r="J14" s="721" t="str">
        <f t="shared" si="1"/>
        <v>----</v>
      </c>
    </row>
    <row r="15" spans="1:11">
      <c r="A15" s="88"/>
      <c r="B15" s="101"/>
      <c r="C15" s="706"/>
      <c r="D15" s="708"/>
      <c r="E15" s="714"/>
      <c r="F15" s="720" t="str">
        <f t="shared" si="2"/>
        <v>----</v>
      </c>
      <c r="G15" s="714"/>
      <c r="H15" s="720" t="str">
        <f t="shared" si="0"/>
        <v>----</v>
      </c>
      <c r="I15" s="711"/>
      <c r="J15" s="721" t="str">
        <f t="shared" si="1"/>
        <v>----</v>
      </c>
    </row>
    <row r="16" spans="1:11">
      <c r="A16" s="88"/>
      <c r="B16" s="101"/>
      <c r="C16" s="706"/>
      <c r="D16" s="708"/>
      <c r="E16" s="714"/>
      <c r="F16" s="720" t="str">
        <f t="shared" si="2"/>
        <v>----</v>
      </c>
      <c r="G16" s="714"/>
      <c r="H16" s="720" t="str">
        <f t="shared" si="0"/>
        <v>----</v>
      </c>
      <c r="I16" s="711"/>
      <c r="J16" s="721" t="str">
        <f t="shared" si="1"/>
        <v>----</v>
      </c>
    </row>
    <row r="17" spans="1:10">
      <c r="A17" s="88"/>
      <c r="B17" s="101"/>
      <c r="C17" s="706"/>
      <c r="D17" s="708"/>
      <c r="E17" s="714"/>
      <c r="F17" s="720" t="str">
        <f t="shared" si="2"/>
        <v>----</v>
      </c>
      <c r="G17" s="714"/>
      <c r="H17" s="720" t="str">
        <f t="shared" si="0"/>
        <v>----</v>
      </c>
      <c r="I17" s="711"/>
      <c r="J17" s="721" t="str">
        <f t="shared" si="1"/>
        <v>----</v>
      </c>
    </row>
    <row r="18" spans="1:10">
      <c r="A18" s="88"/>
      <c r="B18" s="101"/>
      <c r="C18" s="706"/>
      <c r="D18" s="708"/>
      <c r="E18" s="714"/>
      <c r="F18" s="720" t="str">
        <f t="shared" si="2"/>
        <v>----</v>
      </c>
      <c r="G18" s="714"/>
      <c r="H18" s="720" t="str">
        <f t="shared" si="0"/>
        <v>----</v>
      </c>
      <c r="I18" s="711"/>
      <c r="J18" s="721" t="str">
        <f t="shared" si="1"/>
        <v>----</v>
      </c>
    </row>
    <row r="19" spans="1:10">
      <c r="A19" s="88"/>
      <c r="B19" s="101"/>
      <c r="C19" s="706"/>
      <c r="D19" s="708"/>
      <c r="E19" s="714"/>
      <c r="F19" s="720" t="str">
        <f t="shared" si="2"/>
        <v>----</v>
      </c>
      <c r="G19" s="714"/>
      <c r="H19" s="720" t="str">
        <f t="shared" si="0"/>
        <v>----</v>
      </c>
      <c r="I19" s="711"/>
      <c r="J19" s="721" t="str">
        <f t="shared" si="1"/>
        <v>----</v>
      </c>
    </row>
    <row r="20" spans="1:10">
      <c r="A20" s="88"/>
      <c r="B20" s="101"/>
      <c r="C20" s="706"/>
      <c r="D20" s="708"/>
      <c r="E20" s="714"/>
      <c r="F20" s="720" t="str">
        <f t="shared" si="2"/>
        <v>----</v>
      </c>
      <c r="G20" s="714"/>
      <c r="H20" s="720" t="str">
        <f t="shared" si="0"/>
        <v>----</v>
      </c>
      <c r="I20" s="711"/>
      <c r="J20" s="721" t="str">
        <f t="shared" si="1"/>
        <v>----</v>
      </c>
    </row>
    <row r="21" spans="1:10">
      <c r="A21" s="88"/>
      <c r="B21" s="101"/>
      <c r="C21" s="706"/>
      <c r="D21" s="708"/>
      <c r="E21" s="714"/>
      <c r="F21" s="720" t="str">
        <f t="shared" si="2"/>
        <v>----</v>
      </c>
      <c r="G21" s="714"/>
      <c r="H21" s="720" t="str">
        <f t="shared" si="0"/>
        <v>----</v>
      </c>
      <c r="I21" s="711"/>
      <c r="J21" s="721" t="str">
        <f t="shared" si="1"/>
        <v>----</v>
      </c>
    </row>
    <row r="22" spans="1:10">
      <c r="A22" s="88"/>
      <c r="B22" s="101"/>
      <c r="C22" s="706"/>
      <c r="D22" s="708"/>
      <c r="E22" s="714"/>
      <c r="F22" s="720" t="str">
        <f t="shared" si="2"/>
        <v>----</v>
      </c>
      <c r="G22" s="714"/>
      <c r="H22" s="720" t="str">
        <f t="shared" si="0"/>
        <v>----</v>
      </c>
      <c r="I22" s="711"/>
      <c r="J22" s="721" t="str">
        <f t="shared" si="1"/>
        <v>----</v>
      </c>
    </row>
    <row r="23" spans="1:10" ht="15.75" thickBot="1">
      <c r="A23" s="74"/>
      <c r="B23" s="75"/>
      <c r="C23" s="705"/>
      <c r="D23" s="709"/>
      <c r="E23" s="715"/>
      <c r="F23" s="716" t="str">
        <f t="shared" si="2"/>
        <v>----</v>
      </c>
      <c r="G23" s="715"/>
      <c r="H23" s="716" t="str">
        <f t="shared" si="0"/>
        <v>----</v>
      </c>
      <c r="I23" s="712"/>
      <c r="J23" s="717" t="str">
        <f t="shared" si="1"/>
        <v>----</v>
      </c>
    </row>
    <row r="24" spans="1:10" ht="15.75" thickBot="1">
      <c r="A24" s="27"/>
      <c r="B24" s="27"/>
      <c r="C24" s="28"/>
      <c r="D24" s="28"/>
      <c r="E24" s="441"/>
      <c r="F24" s="443">
        <f>SUM(F4:F23)</f>
        <v>52390.610000000015</v>
      </c>
      <c r="G24" s="441"/>
      <c r="H24" s="443">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4" customWidth="1"/>
    <col min="9" max="10" width="12" customWidth="1"/>
  </cols>
  <sheetData>
    <row r="1" spans="1:11" ht="15.75" thickBot="1">
      <c r="A1" s="958" t="s">
        <v>177</v>
      </c>
      <c r="B1" s="959"/>
      <c r="C1" s="959"/>
      <c r="D1" s="959"/>
      <c r="E1" s="959"/>
      <c r="F1" s="959"/>
      <c r="G1" s="959"/>
      <c r="H1" s="959"/>
      <c r="I1" s="959"/>
      <c r="J1" s="960"/>
    </row>
    <row r="2" spans="1:11" s="434" customFormat="1">
      <c r="A2" s="982" t="s">
        <v>110</v>
      </c>
      <c r="B2" s="984" t="s">
        <v>111</v>
      </c>
      <c r="C2" s="984" t="s">
        <v>112</v>
      </c>
      <c r="D2" s="986" t="s">
        <v>120</v>
      </c>
      <c r="E2" s="963" t="s">
        <v>701</v>
      </c>
      <c r="F2" s="964"/>
      <c r="G2" s="963" t="s">
        <v>702</v>
      </c>
      <c r="H2" s="964"/>
      <c r="I2" s="938" t="s">
        <v>796</v>
      </c>
      <c r="J2" s="939"/>
    </row>
    <row r="3" spans="1:11" ht="57.75" thickBot="1">
      <c r="A3" s="983"/>
      <c r="B3" s="985"/>
      <c r="C3" s="985"/>
      <c r="D3" s="987"/>
      <c r="E3" s="462" t="s">
        <v>121</v>
      </c>
      <c r="F3" s="470" t="s">
        <v>704</v>
      </c>
      <c r="G3" s="462" t="s">
        <v>121</v>
      </c>
      <c r="H3" s="470" t="s">
        <v>704</v>
      </c>
      <c r="I3" s="480" t="s">
        <v>121</v>
      </c>
      <c r="J3" s="25" t="s">
        <v>704</v>
      </c>
    </row>
    <row r="4" spans="1:11">
      <c r="A4" s="70">
        <v>43852</v>
      </c>
      <c r="B4" s="71" t="s">
        <v>207</v>
      </c>
      <c r="C4" s="787">
        <v>493525.27</v>
      </c>
      <c r="D4" s="793">
        <f>C4</f>
        <v>493525.27</v>
      </c>
      <c r="E4" s="800">
        <v>511491.38</v>
      </c>
      <c r="F4" s="809">
        <f>IF(ISBLANK(E4),"----",E4-$D4)</f>
        <v>17966.109999999986</v>
      </c>
      <c r="G4" s="800" t="s">
        <v>703</v>
      </c>
      <c r="H4" s="809" t="str">
        <f t="shared" ref="H4:H22" si="0">IF(OR(G4="Complete",ISBLANK(G4)),"----",G4-$D4)</f>
        <v>----</v>
      </c>
      <c r="I4" s="797" t="s">
        <v>703</v>
      </c>
      <c r="J4" s="810" t="str">
        <f t="shared" ref="J4:J22" si="1">IF(OR(I4="Complete",ISBLANK(I4)),"----",I4-$D4)</f>
        <v>----</v>
      </c>
    </row>
    <row r="5" spans="1:11">
      <c r="A5" s="88">
        <v>44580</v>
      </c>
      <c r="B5" s="101" t="s">
        <v>490</v>
      </c>
      <c r="C5" s="790">
        <v>517207.2</v>
      </c>
      <c r="D5" s="794">
        <f>C5</f>
        <v>517207.2</v>
      </c>
      <c r="E5" s="801">
        <v>499497.7</v>
      </c>
      <c r="F5" s="780">
        <f t="shared" ref="F5:F22" si="2">IF(ISBLANK(E5),"----",E5-$D5)</f>
        <v>-17709.5</v>
      </c>
      <c r="G5" s="801" t="s">
        <v>703</v>
      </c>
      <c r="H5" s="780" t="str">
        <f t="shared" si="0"/>
        <v>----</v>
      </c>
      <c r="I5" s="798" t="s">
        <v>703</v>
      </c>
      <c r="J5" s="781" t="str">
        <f t="shared" si="1"/>
        <v>----</v>
      </c>
    </row>
    <row r="6" spans="1:11">
      <c r="A6" s="102">
        <v>44944</v>
      </c>
      <c r="B6" s="103" t="s">
        <v>628</v>
      </c>
      <c r="C6" s="776">
        <v>1158234.6499999999</v>
      </c>
      <c r="D6" s="735">
        <f>C6</f>
        <v>1158234.6499999999</v>
      </c>
      <c r="E6" s="745"/>
      <c r="F6" s="780" t="str">
        <f t="shared" si="2"/>
        <v>----</v>
      </c>
      <c r="G6" s="745"/>
      <c r="H6" s="780" t="str">
        <f t="shared" si="0"/>
        <v>----</v>
      </c>
      <c r="I6" s="740">
        <v>1109893.8899999999</v>
      </c>
      <c r="J6" s="781">
        <f t="shared" si="1"/>
        <v>-48340.760000000009</v>
      </c>
      <c r="K6" t="s">
        <v>866</v>
      </c>
    </row>
    <row r="7" spans="1:11">
      <c r="A7" s="102">
        <v>45308</v>
      </c>
      <c r="B7" s="103" t="s">
        <v>720</v>
      </c>
      <c r="C7" s="776">
        <v>874128.06</v>
      </c>
      <c r="D7" s="735">
        <f>C7</f>
        <v>874128.06</v>
      </c>
      <c r="E7" s="745"/>
      <c r="F7" s="780" t="str">
        <f t="shared" si="2"/>
        <v>----</v>
      </c>
      <c r="G7" s="745"/>
      <c r="H7" s="780" t="str">
        <f t="shared" si="0"/>
        <v>----</v>
      </c>
      <c r="I7" s="740"/>
      <c r="J7" s="781" t="str">
        <f t="shared" si="1"/>
        <v>----</v>
      </c>
    </row>
    <row r="8" spans="1:11" s="845" customFormat="1">
      <c r="A8" s="846">
        <v>45706</v>
      </c>
      <c r="B8" s="847" t="s">
        <v>836</v>
      </c>
      <c r="C8" s="848">
        <v>1353872.98</v>
      </c>
      <c r="D8" s="849">
        <v>0</v>
      </c>
      <c r="E8" s="850"/>
      <c r="F8" s="851" t="str">
        <f t="shared" si="2"/>
        <v>----</v>
      </c>
      <c r="G8" s="850"/>
      <c r="H8" s="851" t="str">
        <f t="shared" si="0"/>
        <v>----</v>
      </c>
      <c r="I8" s="852"/>
      <c r="J8" s="853" t="str">
        <f t="shared" si="1"/>
        <v>----</v>
      </c>
      <c r="K8" s="845" t="s">
        <v>865</v>
      </c>
    </row>
    <row r="9" spans="1:11">
      <c r="A9" s="102"/>
      <c r="B9" s="103"/>
      <c r="C9" s="776"/>
      <c r="D9" s="735"/>
      <c r="E9" s="745"/>
      <c r="F9" s="780" t="str">
        <f t="shared" si="2"/>
        <v>----</v>
      </c>
      <c r="G9" s="745"/>
      <c r="H9" s="780" t="str">
        <f t="shared" si="0"/>
        <v>----</v>
      </c>
      <c r="I9" s="740"/>
      <c r="J9" s="781" t="str">
        <f t="shared" si="1"/>
        <v>----</v>
      </c>
    </row>
    <row r="10" spans="1:11">
      <c r="A10" s="102"/>
      <c r="B10" s="103"/>
      <c r="C10" s="776"/>
      <c r="D10" s="735"/>
      <c r="E10" s="745"/>
      <c r="F10" s="780" t="str">
        <f t="shared" si="2"/>
        <v>----</v>
      </c>
      <c r="G10" s="745"/>
      <c r="H10" s="780" t="str">
        <f t="shared" si="0"/>
        <v>----</v>
      </c>
      <c r="I10" s="740"/>
      <c r="J10" s="781" t="str">
        <f t="shared" si="1"/>
        <v>----</v>
      </c>
    </row>
    <row r="11" spans="1:11">
      <c r="A11" s="102"/>
      <c r="B11" s="103"/>
      <c r="C11" s="776"/>
      <c r="D11" s="735"/>
      <c r="E11" s="745"/>
      <c r="F11" s="780" t="str">
        <f t="shared" si="2"/>
        <v>----</v>
      </c>
      <c r="G11" s="745"/>
      <c r="H11" s="780" t="str">
        <f t="shared" si="0"/>
        <v>----</v>
      </c>
      <c r="I11" s="740"/>
      <c r="J11" s="781" t="str">
        <f t="shared" si="1"/>
        <v>----</v>
      </c>
    </row>
    <row r="12" spans="1:11">
      <c r="A12" s="102"/>
      <c r="B12" s="103"/>
      <c r="C12" s="776"/>
      <c r="D12" s="735"/>
      <c r="E12" s="745"/>
      <c r="F12" s="780" t="str">
        <f t="shared" si="2"/>
        <v>----</v>
      </c>
      <c r="G12" s="745"/>
      <c r="H12" s="780" t="str">
        <f t="shared" si="0"/>
        <v>----</v>
      </c>
      <c r="I12" s="740"/>
      <c r="J12" s="781" t="str">
        <f t="shared" si="1"/>
        <v>----</v>
      </c>
    </row>
    <row r="13" spans="1:11">
      <c r="A13" s="102"/>
      <c r="B13" s="103"/>
      <c r="C13" s="776"/>
      <c r="D13" s="735"/>
      <c r="E13" s="745"/>
      <c r="F13" s="780" t="str">
        <f t="shared" si="2"/>
        <v>----</v>
      </c>
      <c r="G13" s="745"/>
      <c r="H13" s="780" t="str">
        <f t="shared" si="0"/>
        <v>----</v>
      </c>
      <c r="I13" s="740"/>
      <c r="J13" s="781" t="str">
        <f t="shared" si="1"/>
        <v>----</v>
      </c>
    </row>
    <row r="14" spans="1:11">
      <c r="A14" s="102"/>
      <c r="B14" s="103"/>
      <c r="C14" s="776"/>
      <c r="D14" s="735"/>
      <c r="E14" s="745"/>
      <c r="F14" s="780" t="str">
        <f t="shared" si="2"/>
        <v>----</v>
      </c>
      <c r="G14" s="745"/>
      <c r="H14" s="780" t="str">
        <f t="shared" si="0"/>
        <v>----</v>
      </c>
      <c r="I14" s="740"/>
      <c r="J14" s="781" t="str">
        <f t="shared" si="1"/>
        <v>----</v>
      </c>
    </row>
    <row r="15" spans="1:11">
      <c r="A15" s="102"/>
      <c r="B15" s="103"/>
      <c r="C15" s="776"/>
      <c r="D15" s="735"/>
      <c r="E15" s="745"/>
      <c r="F15" s="780" t="str">
        <f t="shared" si="2"/>
        <v>----</v>
      </c>
      <c r="G15" s="745"/>
      <c r="H15" s="780" t="str">
        <f t="shared" si="0"/>
        <v>----</v>
      </c>
      <c r="I15" s="740"/>
      <c r="J15" s="781" t="str">
        <f t="shared" si="1"/>
        <v>----</v>
      </c>
    </row>
    <row r="16" spans="1:11">
      <c r="A16" s="102"/>
      <c r="B16" s="103"/>
      <c r="C16" s="776"/>
      <c r="D16" s="735"/>
      <c r="E16" s="745"/>
      <c r="F16" s="780" t="str">
        <f t="shared" si="2"/>
        <v>----</v>
      </c>
      <c r="G16" s="745"/>
      <c r="H16" s="780" t="str">
        <f t="shared" si="0"/>
        <v>----</v>
      </c>
      <c r="I16" s="740"/>
      <c r="J16" s="781" t="str">
        <f t="shared" si="1"/>
        <v>----</v>
      </c>
    </row>
    <row r="17" spans="1:10">
      <c r="A17" s="102"/>
      <c r="B17" s="103"/>
      <c r="C17" s="776"/>
      <c r="D17" s="735"/>
      <c r="E17" s="745"/>
      <c r="F17" s="780" t="str">
        <f t="shared" si="2"/>
        <v>----</v>
      </c>
      <c r="G17" s="745"/>
      <c r="H17" s="780" t="str">
        <f t="shared" si="0"/>
        <v>----</v>
      </c>
      <c r="I17" s="740"/>
      <c r="J17" s="781" t="str">
        <f t="shared" si="1"/>
        <v>----</v>
      </c>
    </row>
    <row r="18" spans="1:10">
      <c r="A18" s="102"/>
      <c r="B18" s="103"/>
      <c r="C18" s="776"/>
      <c r="D18" s="735"/>
      <c r="E18" s="745"/>
      <c r="F18" s="780" t="str">
        <f t="shared" si="2"/>
        <v>----</v>
      </c>
      <c r="G18" s="745"/>
      <c r="H18" s="780" t="str">
        <f t="shared" si="0"/>
        <v>----</v>
      </c>
      <c r="I18" s="740"/>
      <c r="J18" s="781" t="str">
        <f t="shared" si="1"/>
        <v>----</v>
      </c>
    </row>
    <row r="19" spans="1:10">
      <c r="A19" s="102"/>
      <c r="B19" s="103"/>
      <c r="C19" s="776"/>
      <c r="D19" s="735"/>
      <c r="E19" s="745"/>
      <c r="F19" s="780" t="str">
        <f t="shared" si="2"/>
        <v>----</v>
      </c>
      <c r="G19" s="745"/>
      <c r="H19" s="780" t="str">
        <f t="shared" si="0"/>
        <v>----</v>
      </c>
      <c r="I19" s="740"/>
      <c r="J19" s="781" t="str">
        <f t="shared" si="1"/>
        <v>----</v>
      </c>
    </row>
    <row r="20" spans="1:10">
      <c r="A20" s="102"/>
      <c r="B20" s="103"/>
      <c r="C20" s="776"/>
      <c r="D20" s="735"/>
      <c r="E20" s="745"/>
      <c r="F20" s="780" t="str">
        <f t="shared" si="2"/>
        <v>----</v>
      </c>
      <c r="G20" s="745"/>
      <c r="H20" s="780" t="str">
        <f t="shared" si="0"/>
        <v>----</v>
      </c>
      <c r="I20" s="740"/>
      <c r="J20" s="781" t="str">
        <f t="shared" si="1"/>
        <v>----</v>
      </c>
    </row>
    <row r="21" spans="1:10">
      <c r="A21" s="116"/>
      <c r="B21" s="117"/>
      <c r="C21" s="779"/>
      <c r="D21" s="795"/>
      <c r="E21" s="746"/>
      <c r="F21" s="780" t="str">
        <f t="shared" si="2"/>
        <v>----</v>
      </c>
      <c r="G21" s="746"/>
      <c r="H21" s="780" t="str">
        <f t="shared" si="0"/>
        <v>----</v>
      </c>
      <c r="I21" s="741"/>
      <c r="J21" s="781" t="str">
        <f t="shared" si="1"/>
        <v>----</v>
      </c>
    </row>
    <row r="22" spans="1:10" ht="15.75" thickBot="1">
      <c r="A22" s="74"/>
      <c r="B22" s="75"/>
      <c r="C22" s="789"/>
      <c r="D22" s="796"/>
      <c r="E22" s="802"/>
      <c r="F22" s="807" t="str">
        <f t="shared" si="2"/>
        <v>----</v>
      </c>
      <c r="G22" s="802"/>
      <c r="H22" s="807" t="str">
        <f t="shared" si="0"/>
        <v>----</v>
      </c>
      <c r="I22" s="799"/>
      <c r="J22" s="808" t="str">
        <f t="shared" si="1"/>
        <v>----</v>
      </c>
    </row>
    <row r="23" spans="1:10" ht="15.75" thickBot="1">
      <c r="A23" s="27"/>
      <c r="B23" s="27"/>
      <c r="C23" s="820"/>
      <c r="D23" s="820"/>
      <c r="E23" s="820"/>
      <c r="F23" s="821">
        <f>SUM(F4:F22)</f>
        <v>256.60999999998603</v>
      </c>
      <c r="G23" s="820"/>
      <c r="H23" s="821">
        <f>SUM(H4:H22)</f>
        <v>0</v>
      </c>
      <c r="I23" s="820"/>
      <c r="J23" s="821">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4"/>
  </cols>
  <sheetData>
    <row r="1" spans="1:10" ht="15.75" thickBot="1">
      <c r="A1" s="958" t="s">
        <v>255</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69" thickBot="1">
      <c r="A3" s="966"/>
      <c r="B3" s="968"/>
      <c r="C3" s="968"/>
      <c r="D3" s="970"/>
      <c r="E3" s="462" t="s">
        <v>121</v>
      </c>
      <c r="F3" s="470" t="s">
        <v>704</v>
      </c>
      <c r="G3" s="462" t="s">
        <v>121</v>
      </c>
      <c r="H3" s="470" t="s">
        <v>704</v>
      </c>
      <c r="I3" s="480" t="s">
        <v>121</v>
      </c>
      <c r="J3" s="25" t="s">
        <v>704</v>
      </c>
    </row>
    <row r="4" spans="1:10">
      <c r="A4" s="70">
        <v>44460</v>
      </c>
      <c r="B4" s="71" t="s">
        <v>452</v>
      </c>
      <c r="C4" s="72">
        <v>649012.47999999998</v>
      </c>
      <c r="D4" s="431">
        <v>403222.48</v>
      </c>
      <c r="E4" s="471"/>
      <c r="F4" s="472" t="str">
        <f>IF(ISBLANK(E4),"----",E4-$D4)</f>
        <v>----</v>
      </c>
      <c r="G4" s="471"/>
      <c r="H4" s="472" t="str">
        <f t="shared" ref="H4:H21" si="0">IF(OR(G4="Complete",ISBLANK(G4)),"----",G4-$D4)</f>
        <v>----</v>
      </c>
      <c r="I4" s="481"/>
      <c r="J4" s="73" t="str">
        <f t="shared" ref="J4:J21" si="1">IF(OR(I4="Complete",ISBLANK(I4)),"----",I4-$D4)</f>
        <v>----</v>
      </c>
    </row>
    <row r="5" spans="1:10">
      <c r="A5" s="88">
        <v>44607</v>
      </c>
      <c r="B5" s="101" t="s">
        <v>506</v>
      </c>
      <c r="C5" s="82">
        <v>544017.65</v>
      </c>
      <c r="D5" s="433">
        <v>435214.12</v>
      </c>
      <c r="E5" s="473"/>
      <c r="F5" s="474" t="str">
        <f t="shared" ref="F5:F21" si="2">IF(ISBLANK(E5),"----",E5-$D5)</f>
        <v>----</v>
      </c>
      <c r="G5" s="473"/>
      <c r="H5" s="474" t="str">
        <f t="shared" si="0"/>
        <v>----</v>
      </c>
      <c r="I5" s="486"/>
      <c r="J5" s="83" t="str">
        <f t="shared" si="1"/>
        <v>----</v>
      </c>
    </row>
    <row r="6" spans="1:10">
      <c r="A6" s="88">
        <v>44670</v>
      </c>
      <c r="B6" s="101" t="s">
        <v>514</v>
      </c>
      <c r="C6" s="82">
        <v>687220.2</v>
      </c>
      <c r="D6" s="433">
        <f>C6</f>
        <v>687220.2</v>
      </c>
      <c r="E6" s="473"/>
      <c r="F6" s="474" t="str">
        <f t="shared" si="2"/>
        <v>----</v>
      </c>
      <c r="G6" s="473"/>
      <c r="H6" s="474" t="str">
        <f t="shared" si="0"/>
        <v>----</v>
      </c>
      <c r="I6" s="486"/>
      <c r="J6" s="83" t="str">
        <f t="shared" si="1"/>
        <v>----</v>
      </c>
    </row>
    <row r="7" spans="1:10">
      <c r="A7" s="88"/>
      <c r="B7" s="101"/>
      <c r="C7" s="82"/>
      <c r="D7" s="433"/>
      <c r="E7" s="473"/>
      <c r="F7" s="474" t="str">
        <f t="shared" si="2"/>
        <v>----</v>
      </c>
      <c r="G7" s="473"/>
      <c r="H7" s="474" t="str">
        <f t="shared" si="0"/>
        <v>----</v>
      </c>
      <c r="I7" s="486"/>
      <c r="J7" s="83" t="str">
        <f t="shared" si="1"/>
        <v>----</v>
      </c>
    </row>
    <row r="8" spans="1:10">
      <c r="A8" s="88"/>
      <c r="B8" s="101"/>
      <c r="C8" s="82"/>
      <c r="D8" s="433"/>
      <c r="E8" s="473"/>
      <c r="F8" s="474" t="str">
        <f t="shared" si="2"/>
        <v>----</v>
      </c>
      <c r="G8" s="473"/>
      <c r="H8" s="474" t="str">
        <f t="shared" si="0"/>
        <v>----</v>
      </c>
      <c r="I8" s="486"/>
      <c r="J8" s="83" t="str">
        <f t="shared" si="1"/>
        <v>----</v>
      </c>
    </row>
    <row r="9" spans="1:10">
      <c r="A9" s="88"/>
      <c r="B9" s="101"/>
      <c r="C9" s="82"/>
      <c r="D9" s="433"/>
      <c r="E9" s="473"/>
      <c r="F9" s="474" t="str">
        <f t="shared" si="2"/>
        <v>----</v>
      </c>
      <c r="G9" s="473"/>
      <c r="H9" s="474" t="str">
        <f t="shared" si="0"/>
        <v>----</v>
      </c>
      <c r="I9" s="486"/>
      <c r="J9" s="83" t="str">
        <f t="shared" si="1"/>
        <v>----</v>
      </c>
    </row>
    <row r="10" spans="1:10">
      <c r="A10" s="88"/>
      <c r="B10" s="101"/>
      <c r="C10" s="82"/>
      <c r="D10" s="433"/>
      <c r="E10" s="473"/>
      <c r="F10" s="474" t="str">
        <f t="shared" si="2"/>
        <v>----</v>
      </c>
      <c r="G10" s="473"/>
      <c r="H10" s="474" t="str">
        <f t="shared" si="0"/>
        <v>----</v>
      </c>
      <c r="I10" s="486"/>
      <c r="J10" s="83" t="str">
        <f t="shared" si="1"/>
        <v>----</v>
      </c>
    </row>
    <row r="11" spans="1:10">
      <c r="A11" s="88"/>
      <c r="B11" s="101"/>
      <c r="C11" s="82"/>
      <c r="D11" s="433"/>
      <c r="E11" s="473"/>
      <c r="F11" s="474" t="str">
        <f t="shared" si="2"/>
        <v>----</v>
      </c>
      <c r="G11" s="473"/>
      <c r="H11" s="474" t="str">
        <f t="shared" si="0"/>
        <v>----</v>
      </c>
      <c r="I11" s="486"/>
      <c r="J11" s="83" t="str">
        <f t="shared" si="1"/>
        <v>----</v>
      </c>
    </row>
    <row r="12" spans="1:10">
      <c r="A12" s="88"/>
      <c r="B12" s="101"/>
      <c r="C12" s="82"/>
      <c r="D12" s="433"/>
      <c r="E12" s="473"/>
      <c r="F12" s="474" t="str">
        <f t="shared" si="2"/>
        <v>----</v>
      </c>
      <c r="G12" s="473"/>
      <c r="H12" s="474" t="str">
        <f t="shared" si="0"/>
        <v>----</v>
      </c>
      <c r="I12" s="486"/>
      <c r="J12" s="83" t="str">
        <f t="shared" si="1"/>
        <v>----</v>
      </c>
    </row>
    <row r="13" spans="1:10">
      <c r="A13" s="88"/>
      <c r="B13" s="101"/>
      <c r="C13" s="82"/>
      <c r="D13" s="433"/>
      <c r="E13" s="473"/>
      <c r="F13" s="474" t="str">
        <f t="shared" si="2"/>
        <v>----</v>
      </c>
      <c r="G13" s="473"/>
      <c r="H13" s="474" t="str">
        <f t="shared" si="0"/>
        <v>----</v>
      </c>
      <c r="I13" s="486"/>
      <c r="J13" s="83" t="str">
        <f t="shared" si="1"/>
        <v>----</v>
      </c>
    </row>
    <row r="14" spans="1:10">
      <c r="A14" s="88"/>
      <c r="B14" s="101"/>
      <c r="C14" s="82"/>
      <c r="D14" s="433"/>
      <c r="E14" s="473"/>
      <c r="F14" s="474" t="str">
        <f t="shared" si="2"/>
        <v>----</v>
      </c>
      <c r="G14" s="473"/>
      <c r="H14" s="474" t="str">
        <f t="shared" si="0"/>
        <v>----</v>
      </c>
      <c r="I14" s="486"/>
      <c r="J14" s="83" t="str">
        <f t="shared" si="1"/>
        <v>----</v>
      </c>
    </row>
    <row r="15" spans="1:10">
      <c r="A15" s="88"/>
      <c r="B15" s="101"/>
      <c r="C15" s="82"/>
      <c r="D15" s="433"/>
      <c r="E15" s="473"/>
      <c r="F15" s="474" t="str">
        <f t="shared" si="2"/>
        <v>----</v>
      </c>
      <c r="G15" s="473"/>
      <c r="H15" s="474" t="str">
        <f t="shared" si="0"/>
        <v>----</v>
      </c>
      <c r="I15" s="486"/>
      <c r="J15" s="83" t="str">
        <f t="shared" si="1"/>
        <v>----</v>
      </c>
    </row>
    <row r="16" spans="1:10">
      <c r="A16" s="88"/>
      <c r="B16" s="101"/>
      <c r="C16" s="82"/>
      <c r="D16" s="433"/>
      <c r="E16" s="473"/>
      <c r="F16" s="474" t="str">
        <f t="shared" si="2"/>
        <v>----</v>
      </c>
      <c r="G16" s="473"/>
      <c r="H16" s="474" t="str">
        <f t="shared" si="0"/>
        <v>----</v>
      </c>
      <c r="I16" s="486"/>
      <c r="J16" s="83" t="str">
        <f t="shared" si="1"/>
        <v>----</v>
      </c>
    </row>
    <row r="17" spans="1:10">
      <c r="A17" s="88"/>
      <c r="B17" s="101"/>
      <c r="C17" s="82"/>
      <c r="D17" s="433"/>
      <c r="E17" s="473"/>
      <c r="F17" s="474" t="str">
        <f t="shared" si="2"/>
        <v>----</v>
      </c>
      <c r="G17" s="473"/>
      <c r="H17" s="474" t="str">
        <f t="shared" si="0"/>
        <v>----</v>
      </c>
      <c r="I17" s="486"/>
      <c r="J17" s="83" t="str">
        <f t="shared" si="1"/>
        <v>----</v>
      </c>
    </row>
    <row r="18" spans="1:10">
      <c r="A18" s="88"/>
      <c r="B18" s="101"/>
      <c r="C18" s="82"/>
      <c r="D18" s="433"/>
      <c r="E18" s="473"/>
      <c r="F18" s="474" t="str">
        <f t="shared" si="2"/>
        <v>----</v>
      </c>
      <c r="G18" s="473"/>
      <c r="H18" s="474" t="str">
        <f t="shared" si="0"/>
        <v>----</v>
      </c>
      <c r="I18" s="486"/>
      <c r="J18" s="83" t="str">
        <f t="shared" si="1"/>
        <v>----</v>
      </c>
    </row>
    <row r="19" spans="1:10">
      <c r="A19" s="88"/>
      <c r="B19" s="101"/>
      <c r="C19" s="82"/>
      <c r="D19" s="433"/>
      <c r="E19" s="473"/>
      <c r="F19" s="474" t="str">
        <f t="shared" si="2"/>
        <v>----</v>
      </c>
      <c r="G19" s="473"/>
      <c r="H19" s="474" t="str">
        <f t="shared" si="0"/>
        <v>----</v>
      </c>
      <c r="I19" s="486"/>
      <c r="J19" s="83" t="str">
        <f t="shared" si="1"/>
        <v>----</v>
      </c>
    </row>
    <row r="20" spans="1:10">
      <c r="A20" s="91"/>
      <c r="B20" s="92"/>
      <c r="C20" s="84"/>
      <c r="D20" s="479"/>
      <c r="E20" s="484"/>
      <c r="F20" s="485" t="str">
        <f t="shared" si="2"/>
        <v>----</v>
      </c>
      <c r="G20" s="484"/>
      <c r="H20" s="485" t="str">
        <f t="shared" si="0"/>
        <v>----</v>
      </c>
      <c r="I20" s="482"/>
      <c r="J20" s="85"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0</v>
      </c>
      <c r="G22" s="441"/>
      <c r="H22" s="443">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4" customWidth="1"/>
    <col min="6" max="6" width="12" style="434" customWidth="1"/>
    <col min="7" max="7" width="11" style="434" customWidth="1"/>
    <col min="8" max="8" width="12" style="434" customWidth="1"/>
    <col min="9" max="9" width="11" customWidth="1"/>
    <col min="10" max="10" width="12" customWidth="1"/>
  </cols>
  <sheetData>
    <row r="1" spans="1:11" ht="15.75" thickBot="1">
      <c r="A1" s="958" t="s">
        <v>178</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43852</v>
      </c>
      <c r="B4" s="71" t="s">
        <v>205</v>
      </c>
      <c r="C4" s="72">
        <v>687124.43</v>
      </c>
      <c r="D4" s="431">
        <f>C4</f>
        <v>687124.43</v>
      </c>
      <c r="E4" s="471">
        <v>682969.58</v>
      </c>
      <c r="F4" s="472">
        <f>IF(ISBLANK(E4),"----",E4-$D4)</f>
        <v>-4154.8500000000931</v>
      </c>
      <c r="G4" s="471" t="s">
        <v>703</v>
      </c>
      <c r="H4" s="472" t="str">
        <f t="shared" ref="H4:H21" si="0">IF(OR(G4="Complete",ISBLANK(G4)),"----",G4-$D4)</f>
        <v>----</v>
      </c>
      <c r="I4" s="481" t="s">
        <v>703</v>
      </c>
      <c r="J4" s="73" t="str">
        <f t="shared" ref="J4:J21" si="1">IF(OR(I4="Complete",ISBLANK(I4)),"----",I4-$D4)</f>
        <v>----</v>
      </c>
    </row>
    <row r="5" spans="1:11">
      <c r="A5" s="91">
        <v>43852</v>
      </c>
      <c r="B5" s="92" t="s">
        <v>206</v>
      </c>
      <c r="C5" s="84">
        <v>229395.45</v>
      </c>
      <c r="D5" s="479">
        <f>C5</f>
        <v>229395.45</v>
      </c>
      <c r="E5" s="484">
        <v>228968.7</v>
      </c>
      <c r="F5" s="474">
        <f t="shared" ref="F5:F21" si="2">IF(ISBLANK(E5),"----",E5-$D5)</f>
        <v>-426.75</v>
      </c>
      <c r="G5" s="484" t="s">
        <v>703</v>
      </c>
      <c r="H5" s="474" t="str">
        <f t="shared" si="0"/>
        <v>----</v>
      </c>
      <c r="I5" s="482" t="s">
        <v>703</v>
      </c>
      <c r="J5" s="83" t="str">
        <f t="shared" si="1"/>
        <v>----</v>
      </c>
    </row>
    <row r="6" spans="1:11">
      <c r="A6" s="102">
        <v>44089</v>
      </c>
      <c r="B6" s="103" t="s">
        <v>606</v>
      </c>
      <c r="C6" s="87">
        <v>544621.5</v>
      </c>
      <c r="D6" s="468">
        <f>C6</f>
        <v>544621.5</v>
      </c>
      <c r="E6" s="475">
        <v>537900.15</v>
      </c>
      <c r="F6" s="474">
        <f t="shared" si="2"/>
        <v>-6721.3499999999767</v>
      </c>
      <c r="G6" s="475" t="s">
        <v>703</v>
      </c>
      <c r="H6" s="474" t="str">
        <f t="shared" si="0"/>
        <v>----</v>
      </c>
      <c r="I6" s="488" t="s">
        <v>703</v>
      </c>
      <c r="J6" s="83" t="str">
        <f t="shared" si="1"/>
        <v>----</v>
      </c>
    </row>
    <row r="7" spans="1:11">
      <c r="A7" s="322">
        <v>44915</v>
      </c>
      <c r="B7" s="323" t="s">
        <v>605</v>
      </c>
      <c r="C7" s="324">
        <v>998456.75</v>
      </c>
      <c r="D7" s="524">
        <f>C7</f>
        <v>998456.75</v>
      </c>
      <c r="E7" s="526"/>
      <c r="F7" s="527" t="str">
        <f t="shared" si="2"/>
        <v>----</v>
      </c>
      <c r="G7" s="526"/>
      <c r="H7" s="527" t="str">
        <f t="shared" si="0"/>
        <v>----</v>
      </c>
      <c r="I7" s="525"/>
      <c r="J7" s="325" t="str">
        <f t="shared" si="1"/>
        <v>----</v>
      </c>
      <c r="K7" s="326" t="s">
        <v>148</v>
      </c>
    </row>
    <row r="8" spans="1:11">
      <c r="A8" s="102">
        <v>45308</v>
      </c>
      <c r="B8" s="103" t="s">
        <v>714</v>
      </c>
      <c r="C8" s="87">
        <v>1240402.1100000001</v>
      </c>
      <c r="D8" s="468">
        <f>C8</f>
        <v>1240402.1100000001</v>
      </c>
      <c r="E8" s="475"/>
      <c r="F8" s="474" t="str">
        <f t="shared" si="2"/>
        <v>----</v>
      </c>
      <c r="G8" s="475"/>
      <c r="H8" s="474" t="str">
        <f t="shared" si="0"/>
        <v>----</v>
      </c>
      <c r="I8" s="488"/>
      <c r="J8" s="83" t="str">
        <f t="shared" si="1"/>
        <v>----</v>
      </c>
    </row>
    <row r="9" spans="1:11">
      <c r="A9" s="102"/>
      <c r="B9" s="103"/>
      <c r="C9" s="87"/>
      <c r="D9" s="468"/>
      <c r="E9" s="475"/>
      <c r="F9" s="474" t="str">
        <f t="shared" si="2"/>
        <v>----</v>
      </c>
      <c r="G9" s="475"/>
      <c r="H9" s="474" t="str">
        <f t="shared" si="0"/>
        <v>----</v>
      </c>
      <c r="I9" s="488"/>
      <c r="J9" s="83" t="str">
        <f t="shared" si="1"/>
        <v>----</v>
      </c>
    </row>
    <row r="10" spans="1:11">
      <c r="A10" s="102"/>
      <c r="B10" s="103"/>
      <c r="C10" s="87"/>
      <c r="D10" s="468"/>
      <c r="E10" s="475"/>
      <c r="F10" s="474" t="str">
        <f t="shared" si="2"/>
        <v>----</v>
      </c>
      <c r="G10" s="475"/>
      <c r="H10" s="474" t="str">
        <f t="shared" si="0"/>
        <v>----</v>
      </c>
      <c r="I10" s="488"/>
      <c r="J10" s="83" t="str">
        <f t="shared" si="1"/>
        <v>----</v>
      </c>
    </row>
    <row r="11" spans="1:11">
      <c r="A11" s="102"/>
      <c r="B11" s="103"/>
      <c r="C11" s="87"/>
      <c r="D11" s="468"/>
      <c r="E11" s="475"/>
      <c r="F11" s="474" t="str">
        <f t="shared" si="2"/>
        <v>----</v>
      </c>
      <c r="G11" s="475"/>
      <c r="H11" s="474" t="str">
        <f t="shared" si="0"/>
        <v>----</v>
      </c>
      <c r="I11" s="488"/>
      <c r="J11" s="83" t="str">
        <f t="shared" si="1"/>
        <v>----</v>
      </c>
    </row>
    <row r="12" spans="1:11">
      <c r="A12" s="102"/>
      <c r="B12" s="103"/>
      <c r="C12" s="87"/>
      <c r="D12" s="468"/>
      <c r="E12" s="475"/>
      <c r="F12" s="474" t="str">
        <f t="shared" si="2"/>
        <v>----</v>
      </c>
      <c r="G12" s="475"/>
      <c r="H12" s="474" t="str">
        <f t="shared" si="0"/>
        <v>----</v>
      </c>
      <c r="I12" s="488"/>
      <c r="J12" s="83" t="str">
        <f t="shared" si="1"/>
        <v>----</v>
      </c>
    </row>
    <row r="13" spans="1:11">
      <c r="A13" s="102"/>
      <c r="B13" s="103"/>
      <c r="C13" s="87"/>
      <c r="D13" s="468"/>
      <c r="E13" s="475"/>
      <c r="F13" s="474" t="str">
        <f t="shared" si="2"/>
        <v>----</v>
      </c>
      <c r="G13" s="475"/>
      <c r="H13" s="474" t="str">
        <f t="shared" si="0"/>
        <v>----</v>
      </c>
      <c r="I13" s="488"/>
      <c r="J13" s="83" t="str">
        <f t="shared" si="1"/>
        <v>----</v>
      </c>
    </row>
    <row r="14" spans="1:11">
      <c r="A14" s="102"/>
      <c r="B14" s="103"/>
      <c r="C14" s="87"/>
      <c r="D14" s="468"/>
      <c r="E14" s="475"/>
      <c r="F14" s="474" t="str">
        <f t="shared" si="2"/>
        <v>----</v>
      </c>
      <c r="G14" s="475"/>
      <c r="H14" s="474" t="str">
        <f t="shared" si="0"/>
        <v>----</v>
      </c>
      <c r="I14" s="488"/>
      <c r="J14" s="83" t="str">
        <f t="shared" si="1"/>
        <v>----</v>
      </c>
    </row>
    <row r="15" spans="1:11">
      <c r="A15" s="102"/>
      <c r="B15" s="103"/>
      <c r="C15" s="87"/>
      <c r="D15" s="468"/>
      <c r="E15" s="475"/>
      <c r="F15" s="474" t="str">
        <f t="shared" si="2"/>
        <v>----</v>
      </c>
      <c r="G15" s="475"/>
      <c r="H15" s="474" t="str">
        <f t="shared" si="0"/>
        <v>----</v>
      </c>
      <c r="I15" s="488"/>
      <c r="J15" s="83" t="str">
        <f t="shared" si="1"/>
        <v>----</v>
      </c>
    </row>
    <row r="16" spans="1:11">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02"/>
      <c r="B19" s="103"/>
      <c r="C19" s="87"/>
      <c r="D19" s="468"/>
      <c r="E19" s="475"/>
      <c r="F19" s="474" t="str">
        <f t="shared" si="2"/>
        <v>----</v>
      </c>
      <c r="G19" s="475"/>
      <c r="H19" s="474" t="str">
        <f t="shared" si="0"/>
        <v>----</v>
      </c>
      <c r="I19" s="488"/>
      <c r="J19" s="83" t="str">
        <f t="shared" si="1"/>
        <v>----</v>
      </c>
    </row>
    <row r="20" spans="1:10">
      <c r="A20" s="102"/>
      <c r="B20" s="103"/>
      <c r="C20" s="87"/>
      <c r="D20" s="468"/>
      <c r="E20" s="475"/>
      <c r="F20" s="474" t="str">
        <f t="shared" si="2"/>
        <v>----</v>
      </c>
      <c r="G20" s="475"/>
      <c r="H20" s="474" t="str">
        <f t="shared" si="0"/>
        <v>----</v>
      </c>
      <c r="I20" s="488"/>
      <c r="J20" s="83"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-11302.95000000007</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D11" sqref="D11"/>
    </sheetView>
  </sheetViews>
  <sheetFormatPr defaultRowHeight="15"/>
  <cols>
    <col min="2" max="2" width="22.85546875" bestFit="1" customWidth="1"/>
    <col min="3" max="3" width="12" bestFit="1" customWidth="1"/>
    <col min="4" max="4" width="12" customWidth="1"/>
    <col min="5" max="5" width="10.7109375" style="434" bestFit="1" customWidth="1"/>
    <col min="6" max="6" width="15" style="434" customWidth="1"/>
    <col min="7" max="7" width="10.7109375" style="434" bestFit="1" customWidth="1"/>
    <col min="8" max="8" width="15" style="434" customWidth="1"/>
    <col min="9" max="9" width="10.7109375" bestFit="1" customWidth="1"/>
    <col min="10" max="10" width="15" customWidth="1"/>
  </cols>
  <sheetData>
    <row r="1" spans="1:11" ht="15.75" thickBot="1">
      <c r="A1" s="958" t="s">
        <v>179</v>
      </c>
      <c r="B1" s="959"/>
      <c r="C1" s="959"/>
      <c r="D1" s="959"/>
      <c r="E1" s="959"/>
      <c r="F1" s="959"/>
      <c r="G1" s="959"/>
      <c r="H1" s="959"/>
      <c r="I1" s="959"/>
      <c r="J1" s="960"/>
    </row>
    <row r="2" spans="1:11" s="434" customFormat="1">
      <c r="A2" s="982" t="s">
        <v>110</v>
      </c>
      <c r="B2" s="984" t="s">
        <v>111</v>
      </c>
      <c r="C2" s="984" t="s">
        <v>112</v>
      </c>
      <c r="D2" s="986" t="s">
        <v>120</v>
      </c>
      <c r="E2" s="963" t="s">
        <v>701</v>
      </c>
      <c r="F2" s="964"/>
      <c r="G2" s="963" t="s">
        <v>702</v>
      </c>
      <c r="H2" s="964"/>
      <c r="I2" s="938" t="s">
        <v>796</v>
      </c>
      <c r="J2" s="939"/>
    </row>
    <row r="3" spans="1:11" ht="46.5" thickBot="1">
      <c r="A3" s="983"/>
      <c r="B3" s="985"/>
      <c r="C3" s="985"/>
      <c r="D3" s="987"/>
      <c r="E3" s="462" t="s">
        <v>121</v>
      </c>
      <c r="F3" s="470" t="s">
        <v>704</v>
      </c>
      <c r="G3" s="462" t="s">
        <v>121</v>
      </c>
      <c r="H3" s="470" t="s">
        <v>704</v>
      </c>
      <c r="I3" s="480" t="s">
        <v>121</v>
      </c>
      <c r="J3" s="25" t="s">
        <v>704</v>
      </c>
    </row>
    <row r="4" spans="1:11">
      <c r="A4" s="70">
        <v>43852</v>
      </c>
      <c r="B4" s="259" t="s">
        <v>202</v>
      </c>
      <c r="C4" s="787">
        <v>1184493.3999999999</v>
      </c>
      <c r="D4" s="793">
        <v>236898.68</v>
      </c>
      <c r="E4" s="800"/>
      <c r="F4" s="809" t="str">
        <f>IF(ISBLANK(E4),"----",E4-$D4)</f>
        <v>----</v>
      </c>
      <c r="G4" s="800"/>
      <c r="H4" s="809" t="str">
        <f t="shared" ref="H4:H26" si="0">IF(OR(G4="Complete",ISBLANK(G4)),"----",G4-$D4)</f>
        <v>----</v>
      </c>
      <c r="I4" s="797"/>
      <c r="J4" s="810" t="str">
        <f t="shared" ref="J4:J26" si="1">IF(OR(I4="Complete",ISBLANK(I4)),"----",I4-$D4)</f>
        <v>----</v>
      </c>
      <c r="K4" t="s">
        <v>204</v>
      </c>
    </row>
    <row r="5" spans="1:11">
      <c r="A5" s="91">
        <v>43852</v>
      </c>
      <c r="B5" s="262" t="s">
        <v>203</v>
      </c>
      <c r="C5" s="788">
        <v>575252.1</v>
      </c>
      <c r="D5" s="803">
        <f>C5</f>
        <v>575252.1</v>
      </c>
      <c r="E5" s="805">
        <v>588052.5</v>
      </c>
      <c r="F5" s="668">
        <f t="shared" ref="F5:F26" si="2">IF(ISBLANK(E5),"----",E5-$D5)</f>
        <v>12800.400000000023</v>
      </c>
      <c r="G5" s="805" t="s">
        <v>703</v>
      </c>
      <c r="H5" s="668" t="str">
        <f t="shared" si="0"/>
        <v>----</v>
      </c>
      <c r="I5" s="804" t="s">
        <v>703</v>
      </c>
      <c r="J5" s="669" t="str">
        <f t="shared" si="1"/>
        <v>----</v>
      </c>
    </row>
    <row r="6" spans="1:11">
      <c r="A6" s="102">
        <v>44551</v>
      </c>
      <c r="B6" s="258" t="s">
        <v>479</v>
      </c>
      <c r="C6" s="776">
        <v>274210.65000000002</v>
      </c>
      <c r="D6" s="735">
        <f>C6</f>
        <v>274210.65000000002</v>
      </c>
      <c r="E6" s="745">
        <v>270878.15000000002</v>
      </c>
      <c r="F6" s="777">
        <f t="shared" si="2"/>
        <v>-3332.5</v>
      </c>
      <c r="G6" s="745" t="s">
        <v>703</v>
      </c>
      <c r="H6" s="777" t="str">
        <f t="shared" si="0"/>
        <v>----</v>
      </c>
      <c r="I6" s="740" t="s">
        <v>703</v>
      </c>
      <c r="J6" s="778" t="str">
        <f t="shared" si="1"/>
        <v>----</v>
      </c>
    </row>
    <row r="7" spans="1:11">
      <c r="A7" s="102">
        <v>44551</v>
      </c>
      <c r="B7" s="258" t="s">
        <v>480</v>
      </c>
      <c r="C7" s="776">
        <v>268305.05</v>
      </c>
      <c r="D7" s="735">
        <f>C7</f>
        <v>268305.05</v>
      </c>
      <c r="E7" s="745">
        <v>263971.55</v>
      </c>
      <c r="F7" s="777">
        <f t="shared" si="2"/>
        <v>-4333.5</v>
      </c>
      <c r="G7" s="745" t="s">
        <v>703</v>
      </c>
      <c r="H7" s="777" t="str">
        <f t="shared" si="0"/>
        <v>----</v>
      </c>
      <c r="I7" s="740" t="s">
        <v>703</v>
      </c>
      <c r="J7" s="778" t="str">
        <f t="shared" si="1"/>
        <v>----</v>
      </c>
    </row>
    <row r="8" spans="1:11">
      <c r="A8" s="102">
        <v>44880</v>
      </c>
      <c r="B8" s="258" t="s">
        <v>590</v>
      </c>
      <c r="C8" s="776">
        <v>943792.4</v>
      </c>
      <c r="D8" s="735">
        <f>C8</f>
        <v>943792.4</v>
      </c>
      <c r="E8" s="745"/>
      <c r="F8" s="777" t="str">
        <f t="shared" si="2"/>
        <v>----</v>
      </c>
      <c r="G8" s="745">
        <v>940090.26</v>
      </c>
      <c r="H8" s="777">
        <f t="shared" si="0"/>
        <v>-3702.140000000014</v>
      </c>
      <c r="I8" s="740" t="s">
        <v>703</v>
      </c>
      <c r="J8" s="778" t="str">
        <f t="shared" si="1"/>
        <v>----</v>
      </c>
    </row>
    <row r="9" spans="1:11">
      <c r="A9" s="102">
        <v>44915</v>
      </c>
      <c r="B9" s="258" t="s">
        <v>607</v>
      </c>
      <c r="C9" s="776">
        <v>530035</v>
      </c>
      <c r="D9" s="735">
        <f>106007+424028</f>
        <v>530035</v>
      </c>
      <c r="E9" s="745"/>
      <c r="F9" s="777" t="str">
        <f t="shared" si="2"/>
        <v>----</v>
      </c>
      <c r="G9" s="745"/>
      <c r="H9" s="777" t="str">
        <f t="shared" si="0"/>
        <v>----</v>
      </c>
      <c r="I9" s="740"/>
      <c r="J9" s="778" t="str">
        <f t="shared" si="1"/>
        <v>----</v>
      </c>
    </row>
    <row r="10" spans="1:11">
      <c r="A10" s="102">
        <v>45916</v>
      </c>
      <c r="B10" s="258" t="s">
        <v>904</v>
      </c>
      <c r="C10" s="776">
        <v>1599950.58</v>
      </c>
      <c r="D10" s="735">
        <f>C10*0.2</f>
        <v>319990.11600000004</v>
      </c>
      <c r="E10" s="745"/>
      <c r="F10" s="777" t="str">
        <f t="shared" si="2"/>
        <v>----</v>
      </c>
      <c r="G10" s="745"/>
      <c r="H10" s="777" t="str">
        <f t="shared" si="0"/>
        <v>----</v>
      </c>
      <c r="I10" s="740"/>
      <c r="J10" s="778" t="str">
        <f t="shared" si="1"/>
        <v>----</v>
      </c>
      <c r="K10" t="s">
        <v>905</v>
      </c>
    </row>
    <row r="11" spans="1:11">
      <c r="A11" s="102"/>
      <c r="B11" s="258"/>
      <c r="C11" s="776"/>
      <c r="D11" s="735"/>
      <c r="E11" s="745"/>
      <c r="F11" s="777" t="str">
        <f t="shared" si="2"/>
        <v>----</v>
      </c>
      <c r="G11" s="745"/>
      <c r="H11" s="777" t="str">
        <f t="shared" si="0"/>
        <v>----</v>
      </c>
      <c r="I11" s="740"/>
      <c r="J11" s="778" t="str">
        <f t="shared" si="1"/>
        <v>----</v>
      </c>
    </row>
    <row r="12" spans="1:11">
      <c r="A12" s="102"/>
      <c r="B12" s="258"/>
      <c r="C12" s="776"/>
      <c r="D12" s="735"/>
      <c r="E12" s="745"/>
      <c r="F12" s="777" t="str">
        <f t="shared" si="2"/>
        <v>----</v>
      </c>
      <c r="G12" s="745"/>
      <c r="H12" s="777" t="str">
        <f t="shared" si="0"/>
        <v>----</v>
      </c>
      <c r="I12" s="740"/>
      <c r="J12" s="778" t="str">
        <f t="shared" si="1"/>
        <v>----</v>
      </c>
    </row>
    <row r="13" spans="1:11">
      <c r="A13" s="102"/>
      <c r="B13" s="258"/>
      <c r="C13" s="776"/>
      <c r="D13" s="735"/>
      <c r="E13" s="745"/>
      <c r="F13" s="777" t="str">
        <f t="shared" si="2"/>
        <v>----</v>
      </c>
      <c r="G13" s="745"/>
      <c r="H13" s="777" t="str">
        <f t="shared" si="0"/>
        <v>----</v>
      </c>
      <c r="I13" s="740"/>
      <c r="J13" s="778" t="str">
        <f t="shared" si="1"/>
        <v>----</v>
      </c>
    </row>
    <row r="14" spans="1:11">
      <c r="A14" s="102"/>
      <c r="B14" s="258"/>
      <c r="C14" s="776"/>
      <c r="D14" s="735"/>
      <c r="E14" s="745"/>
      <c r="F14" s="777" t="str">
        <f t="shared" si="2"/>
        <v>----</v>
      </c>
      <c r="G14" s="745"/>
      <c r="H14" s="777" t="str">
        <f t="shared" si="0"/>
        <v>----</v>
      </c>
      <c r="I14" s="740"/>
      <c r="J14" s="778" t="str">
        <f t="shared" si="1"/>
        <v>----</v>
      </c>
    </row>
    <row r="15" spans="1:11">
      <c r="A15" s="102"/>
      <c r="B15" s="258"/>
      <c r="C15" s="776"/>
      <c r="D15" s="735"/>
      <c r="E15" s="745"/>
      <c r="F15" s="777" t="str">
        <f t="shared" si="2"/>
        <v>----</v>
      </c>
      <c r="G15" s="745"/>
      <c r="H15" s="777" t="str">
        <f t="shared" si="0"/>
        <v>----</v>
      </c>
      <c r="I15" s="740"/>
      <c r="J15" s="778" t="str">
        <f t="shared" si="1"/>
        <v>----</v>
      </c>
    </row>
    <row r="16" spans="1:11">
      <c r="A16" s="102"/>
      <c r="B16" s="258"/>
      <c r="C16" s="776"/>
      <c r="D16" s="735"/>
      <c r="E16" s="745"/>
      <c r="F16" s="777" t="str">
        <f t="shared" si="2"/>
        <v>----</v>
      </c>
      <c r="G16" s="745"/>
      <c r="H16" s="777" t="str">
        <f t="shared" si="0"/>
        <v>----</v>
      </c>
      <c r="I16" s="740"/>
      <c r="J16" s="778" t="str">
        <f t="shared" si="1"/>
        <v>----</v>
      </c>
    </row>
    <row r="17" spans="1:10">
      <c r="A17" s="102"/>
      <c r="B17" s="258"/>
      <c r="C17" s="776"/>
      <c r="D17" s="735"/>
      <c r="E17" s="745"/>
      <c r="F17" s="777" t="str">
        <f t="shared" si="2"/>
        <v>----</v>
      </c>
      <c r="G17" s="745"/>
      <c r="H17" s="777" t="str">
        <f t="shared" si="0"/>
        <v>----</v>
      </c>
      <c r="I17" s="740"/>
      <c r="J17" s="778" t="str">
        <f t="shared" si="1"/>
        <v>----</v>
      </c>
    </row>
    <row r="18" spans="1:10">
      <c r="A18" s="102"/>
      <c r="B18" s="258"/>
      <c r="C18" s="776"/>
      <c r="D18" s="735"/>
      <c r="E18" s="745"/>
      <c r="F18" s="777" t="str">
        <f t="shared" si="2"/>
        <v>----</v>
      </c>
      <c r="G18" s="745"/>
      <c r="H18" s="777" t="str">
        <f t="shared" si="0"/>
        <v>----</v>
      </c>
      <c r="I18" s="740"/>
      <c r="J18" s="778" t="str">
        <f t="shared" si="1"/>
        <v>----</v>
      </c>
    </row>
    <row r="19" spans="1:10">
      <c r="A19" s="102"/>
      <c r="B19" s="258"/>
      <c r="C19" s="776"/>
      <c r="D19" s="735"/>
      <c r="E19" s="745"/>
      <c r="F19" s="777" t="str">
        <f t="shared" si="2"/>
        <v>----</v>
      </c>
      <c r="G19" s="745"/>
      <c r="H19" s="777" t="str">
        <f t="shared" si="0"/>
        <v>----</v>
      </c>
      <c r="I19" s="740"/>
      <c r="J19" s="778" t="str">
        <f t="shared" si="1"/>
        <v>----</v>
      </c>
    </row>
    <row r="20" spans="1:10">
      <c r="A20" s="102"/>
      <c r="B20" s="258"/>
      <c r="C20" s="776"/>
      <c r="D20" s="735"/>
      <c r="E20" s="745"/>
      <c r="F20" s="777" t="str">
        <f t="shared" si="2"/>
        <v>----</v>
      </c>
      <c r="G20" s="745"/>
      <c r="H20" s="777" t="str">
        <f t="shared" si="0"/>
        <v>----</v>
      </c>
      <c r="I20" s="740"/>
      <c r="J20" s="778" t="str">
        <f t="shared" si="1"/>
        <v>----</v>
      </c>
    </row>
    <row r="21" spans="1:10">
      <c r="A21" s="102"/>
      <c r="B21" s="258"/>
      <c r="C21" s="776"/>
      <c r="D21" s="735"/>
      <c r="E21" s="745"/>
      <c r="F21" s="777" t="str">
        <f t="shared" si="2"/>
        <v>----</v>
      </c>
      <c r="G21" s="745"/>
      <c r="H21" s="777" t="str">
        <f t="shared" si="0"/>
        <v>----</v>
      </c>
      <c r="I21" s="740"/>
      <c r="J21" s="778" t="str">
        <f t="shared" si="1"/>
        <v>----</v>
      </c>
    </row>
    <row r="22" spans="1:10">
      <c r="A22" s="102"/>
      <c r="B22" s="258"/>
      <c r="C22" s="776"/>
      <c r="D22" s="735"/>
      <c r="E22" s="745"/>
      <c r="F22" s="777" t="str">
        <f t="shared" si="2"/>
        <v>----</v>
      </c>
      <c r="G22" s="745"/>
      <c r="H22" s="777" t="str">
        <f t="shared" si="0"/>
        <v>----</v>
      </c>
      <c r="I22" s="740"/>
      <c r="J22" s="778" t="str">
        <f t="shared" si="1"/>
        <v>----</v>
      </c>
    </row>
    <row r="23" spans="1:10">
      <c r="A23" s="102"/>
      <c r="B23" s="258"/>
      <c r="C23" s="776"/>
      <c r="D23" s="735"/>
      <c r="E23" s="745"/>
      <c r="F23" s="777" t="str">
        <f t="shared" si="2"/>
        <v>----</v>
      </c>
      <c r="G23" s="745"/>
      <c r="H23" s="777" t="str">
        <f t="shared" si="0"/>
        <v>----</v>
      </c>
      <c r="I23" s="740"/>
      <c r="J23" s="778" t="str">
        <f t="shared" si="1"/>
        <v>----</v>
      </c>
    </row>
    <row r="24" spans="1:10">
      <c r="A24" s="102"/>
      <c r="B24" s="258"/>
      <c r="C24" s="776"/>
      <c r="D24" s="735"/>
      <c r="E24" s="745"/>
      <c r="F24" s="777" t="str">
        <f t="shared" si="2"/>
        <v>----</v>
      </c>
      <c r="G24" s="745"/>
      <c r="H24" s="777" t="str">
        <f t="shared" si="0"/>
        <v>----</v>
      </c>
      <c r="I24" s="740"/>
      <c r="J24" s="778" t="str">
        <f t="shared" si="1"/>
        <v>----</v>
      </c>
    </row>
    <row r="25" spans="1:10">
      <c r="A25" s="116"/>
      <c r="B25" s="261"/>
      <c r="C25" s="779"/>
      <c r="D25" s="795"/>
      <c r="E25" s="746"/>
      <c r="F25" s="780" t="str">
        <f t="shared" si="2"/>
        <v>----</v>
      </c>
      <c r="G25" s="746"/>
      <c r="H25" s="780" t="str">
        <f t="shared" si="0"/>
        <v>----</v>
      </c>
      <c r="I25" s="741"/>
      <c r="J25" s="781" t="str">
        <f t="shared" si="1"/>
        <v>----</v>
      </c>
    </row>
    <row r="26" spans="1:10" ht="15.75" thickBot="1">
      <c r="A26" s="74"/>
      <c r="B26" s="75"/>
      <c r="C26" s="789"/>
      <c r="D26" s="796"/>
      <c r="E26" s="802"/>
      <c r="F26" s="807" t="str">
        <f t="shared" si="2"/>
        <v>----</v>
      </c>
      <c r="G26" s="802"/>
      <c r="H26" s="807" t="str">
        <f t="shared" si="0"/>
        <v>----</v>
      </c>
      <c r="I26" s="799"/>
      <c r="J26" s="808" t="str">
        <f t="shared" si="1"/>
        <v>----</v>
      </c>
    </row>
    <row r="27" spans="1:10" ht="15.75" thickBot="1">
      <c r="A27" s="27"/>
      <c r="B27" s="27"/>
      <c r="C27" s="28"/>
      <c r="D27" s="28"/>
      <c r="E27" s="441"/>
      <c r="F27" s="443">
        <f>SUM(F4:F26)</f>
        <v>5134.4000000000233</v>
      </c>
      <c r="G27" s="441"/>
      <c r="H27" s="443">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8" t="s">
        <v>256</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44180</v>
      </c>
      <c r="B4" s="71" t="s">
        <v>361</v>
      </c>
      <c r="C4" s="72">
        <v>408767.3</v>
      </c>
      <c r="D4" s="431">
        <f>C4</f>
        <v>408767.3</v>
      </c>
      <c r="E4" s="471">
        <v>400462.08000000002</v>
      </c>
      <c r="F4" s="472">
        <f>IF(ISBLANK(E4),"----",E4-$D4)</f>
        <v>-8305.2199999999721</v>
      </c>
      <c r="G4" s="471" t="s">
        <v>703</v>
      </c>
      <c r="H4" s="472" t="str">
        <f t="shared" ref="H4:H17" si="0">IF(OR(G4="Complete",ISBLANK(G4)),"----",G4-$D4)</f>
        <v>----</v>
      </c>
      <c r="I4" s="481" t="s">
        <v>703</v>
      </c>
      <c r="J4" s="73" t="str">
        <f t="shared" ref="J4:J17" si="1">IF(OR(I4="Complete",ISBLANK(I4)),"----",I4-$D4)</f>
        <v>----</v>
      </c>
    </row>
    <row r="5" spans="1:10">
      <c r="A5" s="88">
        <v>44180</v>
      </c>
      <c r="B5" s="101" t="s">
        <v>362</v>
      </c>
      <c r="C5" s="82">
        <v>569656.53</v>
      </c>
      <c r="D5" s="433">
        <f>C5</f>
        <v>569656.53</v>
      </c>
      <c r="E5" s="473">
        <v>565439.42000000004</v>
      </c>
      <c r="F5" s="474">
        <f t="shared" ref="F5:F17" si="2">IF(ISBLANK(E5),"----",E5-$D5)</f>
        <v>-4217.109999999986</v>
      </c>
      <c r="G5" s="473" t="s">
        <v>703</v>
      </c>
      <c r="H5" s="474" t="str">
        <f t="shared" si="0"/>
        <v>----</v>
      </c>
      <c r="I5" s="486" t="s">
        <v>703</v>
      </c>
      <c r="J5" s="83" t="str">
        <f t="shared" si="1"/>
        <v>----</v>
      </c>
    </row>
    <row r="6" spans="1:10">
      <c r="A6" s="91">
        <v>45552</v>
      </c>
      <c r="B6" s="413" t="s">
        <v>775</v>
      </c>
      <c r="C6" s="377">
        <v>424348.5</v>
      </c>
      <c r="D6" s="592">
        <f>C6</f>
        <v>424348.5</v>
      </c>
      <c r="E6" s="484"/>
      <c r="F6" s="485" t="str">
        <f t="shared" si="2"/>
        <v>----</v>
      </c>
      <c r="G6" s="484"/>
      <c r="H6" s="485" t="str">
        <f t="shared" si="0"/>
        <v>----</v>
      </c>
      <c r="I6" s="482"/>
      <c r="J6" s="85" t="str">
        <f t="shared" si="1"/>
        <v>----</v>
      </c>
    </row>
    <row r="7" spans="1:10">
      <c r="A7" s="88" t="s">
        <v>819</v>
      </c>
      <c r="B7" s="703" t="s">
        <v>818</v>
      </c>
      <c r="C7" s="376">
        <v>102951</v>
      </c>
      <c r="D7" s="566">
        <f>C7</f>
        <v>102951</v>
      </c>
      <c r="E7" s="473"/>
      <c r="F7" s="474" t="str">
        <f t="shared" si="2"/>
        <v>----</v>
      </c>
      <c r="G7" s="473"/>
      <c r="H7" s="474" t="str">
        <f t="shared" si="0"/>
        <v>----</v>
      </c>
      <c r="I7" s="486"/>
      <c r="J7" s="83" t="str">
        <f t="shared" si="1"/>
        <v>----</v>
      </c>
    </row>
    <row r="8" spans="1:10">
      <c r="A8" s="91"/>
      <c r="B8" s="92"/>
      <c r="C8" s="84"/>
      <c r="D8" s="479"/>
      <c r="E8" s="484"/>
      <c r="F8" s="485" t="str">
        <f t="shared" si="2"/>
        <v>----</v>
      </c>
      <c r="G8" s="484"/>
      <c r="H8" s="485" t="str">
        <f t="shared" si="0"/>
        <v>----</v>
      </c>
      <c r="I8" s="482"/>
      <c r="J8" s="85" t="str">
        <f t="shared" si="1"/>
        <v>----</v>
      </c>
    </row>
    <row r="9" spans="1:10">
      <c r="A9" s="88"/>
      <c r="B9" s="101"/>
      <c r="C9" s="82"/>
      <c r="D9" s="433"/>
      <c r="E9" s="473"/>
      <c r="F9" s="474" t="str">
        <f t="shared" si="2"/>
        <v>----</v>
      </c>
      <c r="G9" s="473"/>
      <c r="H9" s="474" t="str">
        <f t="shared" si="0"/>
        <v>----</v>
      </c>
      <c r="I9" s="486"/>
      <c r="J9" s="83" t="str">
        <f t="shared" si="1"/>
        <v>----</v>
      </c>
    </row>
    <row r="10" spans="1:10">
      <c r="A10" s="91"/>
      <c r="B10" s="92"/>
      <c r="C10" s="84"/>
      <c r="D10" s="479"/>
      <c r="E10" s="484"/>
      <c r="F10" s="485" t="str">
        <f t="shared" si="2"/>
        <v>----</v>
      </c>
      <c r="G10" s="484"/>
      <c r="H10" s="485" t="str">
        <f t="shared" si="0"/>
        <v>----</v>
      </c>
      <c r="I10" s="482"/>
      <c r="J10" s="85" t="str">
        <f t="shared" si="1"/>
        <v>----</v>
      </c>
    </row>
    <row r="11" spans="1:10">
      <c r="A11" s="88"/>
      <c r="B11" s="101"/>
      <c r="C11" s="82"/>
      <c r="D11" s="433"/>
      <c r="E11" s="473"/>
      <c r="F11" s="474" t="str">
        <f t="shared" si="2"/>
        <v>----</v>
      </c>
      <c r="G11" s="473"/>
      <c r="H11" s="474" t="str">
        <f t="shared" si="0"/>
        <v>----</v>
      </c>
      <c r="I11" s="486"/>
      <c r="J11" s="83" t="str">
        <f t="shared" si="1"/>
        <v>----</v>
      </c>
    </row>
    <row r="12" spans="1:10">
      <c r="A12" s="91"/>
      <c r="B12" s="92"/>
      <c r="C12" s="84"/>
      <c r="D12" s="479"/>
      <c r="E12" s="484"/>
      <c r="F12" s="485" t="str">
        <f t="shared" si="2"/>
        <v>----</v>
      </c>
      <c r="G12" s="484"/>
      <c r="H12" s="485" t="str">
        <f t="shared" si="0"/>
        <v>----</v>
      </c>
      <c r="I12" s="482"/>
      <c r="J12" s="85" t="str">
        <f t="shared" si="1"/>
        <v>----</v>
      </c>
    </row>
    <row r="13" spans="1:10">
      <c r="A13" s="88"/>
      <c r="B13" s="101"/>
      <c r="C13" s="82"/>
      <c r="D13" s="433"/>
      <c r="E13" s="473"/>
      <c r="F13" s="474" t="str">
        <f t="shared" si="2"/>
        <v>----</v>
      </c>
      <c r="G13" s="473"/>
      <c r="H13" s="474" t="str">
        <f t="shared" si="0"/>
        <v>----</v>
      </c>
      <c r="I13" s="486"/>
      <c r="J13" s="83" t="str">
        <f t="shared" si="1"/>
        <v>----</v>
      </c>
    </row>
    <row r="14" spans="1:10">
      <c r="A14" s="91"/>
      <c r="B14" s="92"/>
      <c r="C14" s="84"/>
      <c r="D14" s="479"/>
      <c r="E14" s="484"/>
      <c r="F14" s="485" t="str">
        <f t="shared" si="2"/>
        <v>----</v>
      </c>
      <c r="G14" s="484"/>
      <c r="H14" s="485" t="str">
        <f t="shared" si="0"/>
        <v>----</v>
      </c>
      <c r="I14" s="482"/>
      <c r="J14" s="85" t="str">
        <f t="shared" si="1"/>
        <v>----</v>
      </c>
    </row>
    <row r="15" spans="1:10">
      <c r="A15" s="88"/>
      <c r="B15" s="101"/>
      <c r="C15" s="82"/>
      <c r="D15" s="433"/>
      <c r="E15" s="473"/>
      <c r="F15" s="474" t="str">
        <f t="shared" si="2"/>
        <v>----</v>
      </c>
      <c r="G15" s="473"/>
      <c r="H15" s="474" t="str">
        <f t="shared" si="0"/>
        <v>----</v>
      </c>
      <c r="I15" s="486"/>
      <c r="J15" s="83" t="str">
        <f t="shared" si="1"/>
        <v>----</v>
      </c>
    </row>
    <row r="16" spans="1:10">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-12522.329999999958</v>
      </c>
      <c r="G18" s="441"/>
      <c r="H18" s="443">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4" bestFit="1" customWidth="1"/>
    <col min="6" max="6" width="12.85546875" style="434" customWidth="1"/>
    <col min="7" max="7" width="12" style="434" bestFit="1" customWidth="1"/>
    <col min="8" max="8" width="12.85546875" style="434" customWidth="1"/>
    <col min="9" max="9" width="10.7109375" bestFit="1" customWidth="1"/>
    <col min="10" max="10" width="12.85546875" customWidth="1"/>
  </cols>
  <sheetData>
    <row r="1" spans="1:10" ht="15.75" thickBot="1">
      <c r="A1" s="958" t="s">
        <v>153</v>
      </c>
      <c r="B1" s="959"/>
      <c r="C1" s="959"/>
      <c r="D1" s="959"/>
      <c r="E1" s="959"/>
      <c r="F1" s="959"/>
      <c r="G1" s="959"/>
      <c r="H1" s="959"/>
      <c r="I1" s="959"/>
      <c r="J1" s="960"/>
    </row>
    <row r="2" spans="1:10" s="434" customFormat="1">
      <c r="A2" s="965" t="s">
        <v>110</v>
      </c>
      <c r="B2" s="967" t="s">
        <v>111</v>
      </c>
      <c r="C2" s="967" t="s">
        <v>112</v>
      </c>
      <c r="D2" s="969" t="s">
        <v>247</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43816</v>
      </c>
      <c r="B4" s="71" t="s">
        <v>168</v>
      </c>
      <c r="C4" s="72">
        <v>663331.87</v>
      </c>
      <c r="D4" s="431">
        <f>C4</f>
        <v>663331.87</v>
      </c>
      <c r="E4" s="471">
        <v>651120.44999999995</v>
      </c>
      <c r="F4" s="472">
        <f>IF(ISBLANK(E4),"----",E4-$D4)</f>
        <v>-12211.420000000042</v>
      </c>
      <c r="G4" s="471" t="s">
        <v>703</v>
      </c>
      <c r="H4" s="472" t="str">
        <f t="shared" ref="H4:H21" si="0">IF(OR(G4="Complete",ISBLANK(G4)),"----",G4-$D4)</f>
        <v>----</v>
      </c>
      <c r="I4" s="481" t="s">
        <v>703</v>
      </c>
      <c r="J4" s="73" t="str">
        <f t="shared" ref="J4:J21" si="1">IF(OR(I4="Complete",ISBLANK(I4)),"----",I4-$D4)</f>
        <v>----</v>
      </c>
    </row>
    <row r="5" spans="1:10">
      <c r="A5" s="91">
        <v>43816</v>
      </c>
      <c r="B5" s="92" t="s">
        <v>169</v>
      </c>
      <c r="C5" s="84">
        <v>700659.04</v>
      </c>
      <c r="D5" s="479">
        <f>C5</f>
        <v>700659.04</v>
      </c>
      <c r="E5" s="484">
        <v>681332.98999999987</v>
      </c>
      <c r="F5" s="485">
        <f t="shared" ref="F5:F21" si="2">IF(ISBLANK(E5),"----",E5-$D5)</f>
        <v>-19326.050000000163</v>
      </c>
      <c r="G5" s="484" t="s">
        <v>703</v>
      </c>
      <c r="H5" s="485" t="str">
        <f t="shared" si="0"/>
        <v>----</v>
      </c>
      <c r="I5" s="482" t="s">
        <v>703</v>
      </c>
      <c r="J5" s="85" t="str">
        <f t="shared" si="1"/>
        <v>----</v>
      </c>
    </row>
    <row r="6" spans="1:10">
      <c r="A6" s="102">
        <v>44698</v>
      </c>
      <c r="B6" s="103" t="s">
        <v>520</v>
      </c>
      <c r="C6" s="87">
        <v>1060952.3700000001</v>
      </c>
      <c r="D6" s="468">
        <f>C6</f>
        <v>1060952.3700000001</v>
      </c>
      <c r="E6" s="475"/>
      <c r="F6" s="487" t="str">
        <f t="shared" si="2"/>
        <v>----</v>
      </c>
      <c r="G6" s="475">
        <v>1054336.72</v>
      </c>
      <c r="H6" s="487">
        <f t="shared" si="0"/>
        <v>-6615.6500000001397</v>
      </c>
      <c r="I6" s="791" t="s">
        <v>703</v>
      </c>
      <c r="J6" s="115" t="str">
        <f t="shared" si="1"/>
        <v>----</v>
      </c>
    </row>
    <row r="7" spans="1:10">
      <c r="A7" s="102">
        <v>45679</v>
      </c>
      <c r="B7" s="727" t="s">
        <v>820</v>
      </c>
      <c r="C7" s="599">
        <v>1148728.3500000001</v>
      </c>
      <c r="D7" s="600">
        <f>C7</f>
        <v>1148728.3500000001</v>
      </c>
      <c r="E7" s="475"/>
      <c r="F7" s="487" t="str">
        <f t="shared" si="2"/>
        <v>----</v>
      </c>
      <c r="G7" s="475"/>
      <c r="H7" s="487" t="str">
        <f t="shared" si="0"/>
        <v>----</v>
      </c>
      <c r="I7" s="488"/>
      <c r="J7" s="115" t="str">
        <f t="shared" si="1"/>
        <v>----</v>
      </c>
    </row>
    <row r="8" spans="1:10">
      <c r="A8" s="102">
        <v>45679</v>
      </c>
      <c r="B8" s="727" t="s">
        <v>821</v>
      </c>
      <c r="C8" s="599">
        <v>1106107.6000000001</v>
      </c>
      <c r="D8" s="600">
        <f>C8</f>
        <v>1106107.6000000001</v>
      </c>
      <c r="E8" s="475"/>
      <c r="F8" s="487" t="str">
        <f t="shared" si="2"/>
        <v>----</v>
      </c>
      <c r="G8" s="475"/>
      <c r="H8" s="487" t="str">
        <f t="shared" si="0"/>
        <v>----</v>
      </c>
      <c r="I8" s="488"/>
      <c r="J8" s="115" t="str">
        <f t="shared" si="1"/>
        <v>----</v>
      </c>
    </row>
    <row r="9" spans="1:10">
      <c r="A9" s="102"/>
      <c r="B9" s="103"/>
      <c r="C9" s="87"/>
      <c r="D9" s="468"/>
      <c r="E9" s="475"/>
      <c r="F9" s="487" t="str">
        <f t="shared" si="2"/>
        <v>----</v>
      </c>
      <c r="G9" s="475"/>
      <c r="H9" s="487" t="str">
        <f t="shared" si="0"/>
        <v>----</v>
      </c>
      <c r="I9" s="488"/>
      <c r="J9" s="115" t="str">
        <f t="shared" si="1"/>
        <v>----</v>
      </c>
    </row>
    <row r="10" spans="1:10">
      <c r="A10" s="102"/>
      <c r="B10" s="103"/>
      <c r="C10" s="87"/>
      <c r="D10" s="468"/>
      <c r="E10" s="475"/>
      <c r="F10" s="487" t="str">
        <f t="shared" si="2"/>
        <v>----</v>
      </c>
      <c r="G10" s="475"/>
      <c r="H10" s="487" t="str">
        <f t="shared" si="0"/>
        <v>----</v>
      </c>
      <c r="I10" s="488"/>
      <c r="J10" s="115" t="str">
        <f t="shared" si="1"/>
        <v>----</v>
      </c>
    </row>
    <row r="11" spans="1:10">
      <c r="A11" s="102"/>
      <c r="B11" s="103"/>
      <c r="C11" s="87"/>
      <c r="D11" s="468"/>
      <c r="E11" s="475"/>
      <c r="F11" s="487" t="str">
        <f t="shared" si="2"/>
        <v>----</v>
      </c>
      <c r="G11" s="475"/>
      <c r="H11" s="487" t="str">
        <f t="shared" si="0"/>
        <v>----</v>
      </c>
      <c r="I11" s="488"/>
      <c r="J11" s="115" t="str">
        <f t="shared" si="1"/>
        <v>----</v>
      </c>
    </row>
    <row r="12" spans="1:10">
      <c r="A12" s="102"/>
      <c r="B12" s="103"/>
      <c r="C12" s="87"/>
      <c r="D12" s="468"/>
      <c r="E12" s="475"/>
      <c r="F12" s="487" t="str">
        <f t="shared" si="2"/>
        <v>----</v>
      </c>
      <c r="G12" s="475"/>
      <c r="H12" s="487" t="str">
        <f t="shared" si="0"/>
        <v>----</v>
      </c>
      <c r="I12" s="488"/>
      <c r="J12" s="115" t="str">
        <f t="shared" si="1"/>
        <v>----</v>
      </c>
    </row>
    <row r="13" spans="1:10">
      <c r="A13" s="102"/>
      <c r="B13" s="103"/>
      <c r="C13" s="87"/>
      <c r="D13" s="468"/>
      <c r="E13" s="475"/>
      <c r="F13" s="487" t="str">
        <f t="shared" si="2"/>
        <v>----</v>
      </c>
      <c r="G13" s="475"/>
      <c r="H13" s="487" t="str">
        <f t="shared" si="0"/>
        <v>----</v>
      </c>
      <c r="I13" s="488"/>
      <c r="J13" s="115" t="str">
        <f t="shared" si="1"/>
        <v>----</v>
      </c>
    </row>
    <row r="14" spans="1:10">
      <c r="A14" s="102"/>
      <c r="B14" s="103"/>
      <c r="C14" s="87"/>
      <c r="D14" s="468"/>
      <c r="E14" s="475"/>
      <c r="F14" s="487" t="str">
        <f t="shared" si="2"/>
        <v>----</v>
      </c>
      <c r="G14" s="475"/>
      <c r="H14" s="487" t="str">
        <f t="shared" si="0"/>
        <v>----</v>
      </c>
      <c r="I14" s="488"/>
      <c r="J14" s="115" t="str">
        <f t="shared" si="1"/>
        <v>----</v>
      </c>
    </row>
    <row r="15" spans="1:10">
      <c r="A15" s="102"/>
      <c r="B15" s="103"/>
      <c r="C15" s="87"/>
      <c r="D15" s="468"/>
      <c r="E15" s="475"/>
      <c r="F15" s="487" t="str">
        <f t="shared" si="2"/>
        <v>----</v>
      </c>
      <c r="G15" s="475"/>
      <c r="H15" s="487" t="str">
        <f t="shared" si="0"/>
        <v>----</v>
      </c>
      <c r="I15" s="488"/>
      <c r="J15" s="115" t="str">
        <f t="shared" si="1"/>
        <v>----</v>
      </c>
    </row>
    <row r="16" spans="1:10">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02"/>
      <c r="B18" s="103"/>
      <c r="C18" s="87"/>
      <c r="D18" s="468"/>
      <c r="E18" s="475"/>
      <c r="F18" s="487" t="str">
        <f t="shared" si="2"/>
        <v>----</v>
      </c>
      <c r="G18" s="475"/>
      <c r="H18" s="487" t="str">
        <f t="shared" si="0"/>
        <v>----</v>
      </c>
      <c r="I18" s="488"/>
      <c r="J18" s="115" t="str">
        <f t="shared" si="1"/>
        <v>----</v>
      </c>
    </row>
    <row r="19" spans="1:10">
      <c r="A19" s="102"/>
      <c r="B19" s="103"/>
      <c r="C19" s="87"/>
      <c r="D19" s="468"/>
      <c r="E19" s="475"/>
      <c r="F19" s="487" t="str">
        <f t="shared" si="2"/>
        <v>----</v>
      </c>
      <c r="G19" s="475"/>
      <c r="H19" s="487" t="str">
        <f t="shared" si="0"/>
        <v>----</v>
      </c>
      <c r="I19" s="488"/>
      <c r="J19" s="115" t="str">
        <f t="shared" si="1"/>
        <v>----</v>
      </c>
    </row>
    <row r="20" spans="1:10">
      <c r="A20" s="116"/>
      <c r="B20" s="117"/>
      <c r="C20" s="118"/>
      <c r="D20" s="469"/>
      <c r="E20" s="476"/>
      <c r="F20" s="489" t="str">
        <f t="shared" si="2"/>
        <v>----</v>
      </c>
      <c r="G20" s="476"/>
      <c r="H20" s="489" t="str">
        <f t="shared" si="0"/>
        <v>----</v>
      </c>
      <c r="I20" s="490"/>
      <c r="J20" s="119" t="str">
        <f t="shared" si="1"/>
        <v>----</v>
      </c>
    </row>
    <row r="21" spans="1:10" ht="15.75" thickBot="1">
      <c r="A21" s="74"/>
      <c r="B21" s="75"/>
      <c r="C21" s="76"/>
      <c r="D21" s="432"/>
      <c r="E21" s="477"/>
      <c r="F21" s="478" t="str">
        <f t="shared" si="2"/>
        <v>----</v>
      </c>
      <c r="G21" s="477"/>
      <c r="H21" s="478" t="str">
        <f t="shared" si="0"/>
        <v>----</v>
      </c>
      <c r="I21" s="483"/>
      <c r="J21" s="77" t="str">
        <f t="shared" si="1"/>
        <v>----</v>
      </c>
    </row>
    <row r="22" spans="1:10" ht="15.75" thickBot="1">
      <c r="A22" s="27"/>
      <c r="B22" s="27"/>
      <c r="C22" s="28"/>
      <c r="D22" s="28"/>
      <c r="E22" s="441"/>
      <c r="F22" s="443">
        <f>SUM(F4:F21)</f>
        <v>-31537.470000000205</v>
      </c>
      <c r="G22" s="441"/>
      <c r="H22" s="443">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K5" sqref="K5"/>
    </sheetView>
  </sheetViews>
  <sheetFormatPr defaultRowHeight="15"/>
  <cols>
    <col min="2" max="2" width="22.5703125" bestFit="1" customWidth="1"/>
    <col min="3" max="3" width="12.7109375" customWidth="1"/>
    <col min="4" max="4" width="13" customWidth="1"/>
    <col min="5" max="8" width="9.140625" style="434"/>
  </cols>
  <sheetData>
    <row r="1" spans="1:11" ht="15.75" thickBot="1">
      <c r="A1" s="958" t="s">
        <v>257</v>
      </c>
      <c r="B1" s="959"/>
      <c r="C1" s="959"/>
      <c r="D1" s="959"/>
      <c r="E1" s="959"/>
      <c r="F1" s="959"/>
      <c r="G1" s="959"/>
      <c r="H1" s="959"/>
      <c r="I1" s="959"/>
      <c r="J1" s="960"/>
    </row>
    <row r="2" spans="1:11" s="434" customFormat="1">
      <c r="A2" s="965" t="s">
        <v>110</v>
      </c>
      <c r="B2" s="967" t="s">
        <v>111</v>
      </c>
      <c r="C2" s="967" t="s">
        <v>112</v>
      </c>
      <c r="D2" s="969" t="s">
        <v>247</v>
      </c>
      <c r="E2" s="963" t="s">
        <v>701</v>
      </c>
      <c r="F2" s="964"/>
      <c r="G2" s="963" t="s">
        <v>702</v>
      </c>
      <c r="H2" s="964"/>
      <c r="I2" s="938" t="s">
        <v>796</v>
      </c>
      <c r="J2" s="939"/>
    </row>
    <row r="3" spans="1:11" ht="69" thickBot="1">
      <c r="A3" s="966"/>
      <c r="B3" s="968"/>
      <c r="C3" s="968"/>
      <c r="D3" s="970"/>
      <c r="E3" s="462" t="s">
        <v>121</v>
      </c>
      <c r="F3" s="470" t="s">
        <v>704</v>
      </c>
      <c r="G3" s="462" t="s">
        <v>121</v>
      </c>
      <c r="H3" s="470" t="s">
        <v>704</v>
      </c>
      <c r="I3" s="480" t="s">
        <v>121</v>
      </c>
      <c r="J3" s="25" t="s">
        <v>704</v>
      </c>
    </row>
    <row r="4" spans="1:11">
      <c r="A4" s="70">
        <v>44124</v>
      </c>
      <c r="B4" s="71" t="s">
        <v>311</v>
      </c>
      <c r="C4" s="787">
        <v>1643438.76</v>
      </c>
      <c r="D4" s="793">
        <v>1261098.76</v>
      </c>
      <c r="E4" s="800"/>
      <c r="F4" s="809" t="str">
        <f>IF(ISBLANK(E4),"----",E4-$D4)</f>
        <v>----</v>
      </c>
      <c r="G4" s="800"/>
      <c r="H4" s="809" t="str">
        <f t="shared" ref="H4:H20" si="0">IF(OR(G4="Complete",ISBLANK(G4)),"----",G4-$D4)</f>
        <v>----</v>
      </c>
      <c r="I4" s="797"/>
      <c r="J4" s="810" t="str">
        <f t="shared" ref="J4:J20" si="1">IF(OR(I4="Complete",ISBLANK(I4)),"----",I4-$D4)</f>
        <v>----</v>
      </c>
    </row>
    <row r="5" spans="1:11">
      <c r="A5" s="204">
        <v>44243</v>
      </c>
      <c r="B5" s="101" t="s">
        <v>395</v>
      </c>
      <c r="C5" s="860">
        <v>850881.65</v>
      </c>
      <c r="D5" s="861">
        <v>0</v>
      </c>
      <c r="E5" s="854"/>
      <c r="F5" s="862" t="str">
        <f t="shared" ref="F5:F20" si="2">IF(ISBLANK(E5),"----",E5-$D5)</f>
        <v>----</v>
      </c>
      <c r="G5" s="854"/>
      <c r="H5" s="862" t="str">
        <f t="shared" si="0"/>
        <v>----</v>
      </c>
      <c r="I5" s="855"/>
      <c r="J5" s="863" t="str">
        <f t="shared" si="1"/>
        <v>----</v>
      </c>
      <c r="K5" s="218" t="s">
        <v>511</v>
      </c>
    </row>
    <row r="6" spans="1:11">
      <c r="A6" s="976">
        <v>45797</v>
      </c>
      <c r="B6" s="727" t="s">
        <v>871</v>
      </c>
      <c r="C6" s="776">
        <v>343450</v>
      </c>
      <c r="D6" s="735">
        <f>C6</f>
        <v>343450</v>
      </c>
      <c r="E6" s="745"/>
      <c r="F6" s="813" t="str">
        <f t="shared" si="2"/>
        <v>----</v>
      </c>
      <c r="G6" s="745"/>
      <c r="H6" s="813" t="str">
        <f t="shared" si="0"/>
        <v>----</v>
      </c>
      <c r="I6" s="740"/>
      <c r="J6" s="814" t="str">
        <f t="shared" si="1"/>
        <v>----</v>
      </c>
    </row>
    <row r="7" spans="1:11">
      <c r="A7" s="978"/>
      <c r="B7" s="727" t="s">
        <v>872</v>
      </c>
      <c r="C7" s="776">
        <v>273696.63</v>
      </c>
      <c r="D7" s="735">
        <f>C7</f>
        <v>273696.63</v>
      </c>
      <c r="E7" s="745"/>
      <c r="F7" s="813" t="str">
        <f t="shared" si="2"/>
        <v>----</v>
      </c>
      <c r="G7" s="745"/>
      <c r="H7" s="813" t="str">
        <f t="shared" si="0"/>
        <v>----</v>
      </c>
      <c r="I7" s="740"/>
      <c r="J7" s="814" t="str">
        <f t="shared" si="1"/>
        <v>----</v>
      </c>
    </row>
    <row r="8" spans="1:11">
      <c r="A8" s="102"/>
      <c r="B8" s="103"/>
      <c r="C8" s="776"/>
      <c r="D8" s="735"/>
      <c r="E8" s="745"/>
      <c r="F8" s="813" t="str">
        <f t="shared" si="2"/>
        <v>----</v>
      </c>
      <c r="G8" s="745"/>
      <c r="H8" s="813" t="str">
        <f t="shared" si="0"/>
        <v>----</v>
      </c>
      <c r="I8" s="740"/>
      <c r="J8" s="814" t="str">
        <f t="shared" si="1"/>
        <v>----</v>
      </c>
    </row>
    <row r="9" spans="1:11">
      <c r="A9" s="102"/>
      <c r="B9" s="103"/>
      <c r="C9" s="776"/>
      <c r="D9" s="735"/>
      <c r="E9" s="745"/>
      <c r="F9" s="813" t="str">
        <f t="shared" si="2"/>
        <v>----</v>
      </c>
      <c r="G9" s="745"/>
      <c r="H9" s="813" t="str">
        <f t="shared" si="0"/>
        <v>----</v>
      </c>
      <c r="I9" s="740"/>
      <c r="J9" s="814" t="str">
        <f t="shared" si="1"/>
        <v>----</v>
      </c>
    </row>
    <row r="10" spans="1:11">
      <c r="A10" s="102"/>
      <c r="B10" s="103"/>
      <c r="C10" s="776"/>
      <c r="D10" s="735"/>
      <c r="E10" s="745"/>
      <c r="F10" s="813" t="str">
        <f t="shared" si="2"/>
        <v>----</v>
      </c>
      <c r="G10" s="745"/>
      <c r="H10" s="813" t="str">
        <f t="shared" si="0"/>
        <v>----</v>
      </c>
      <c r="I10" s="740"/>
      <c r="J10" s="814" t="str">
        <f t="shared" si="1"/>
        <v>----</v>
      </c>
    </row>
    <row r="11" spans="1:11">
      <c r="A11" s="102"/>
      <c r="B11" s="103"/>
      <c r="C11" s="776"/>
      <c r="D11" s="735"/>
      <c r="E11" s="745"/>
      <c r="F11" s="813" t="str">
        <f t="shared" si="2"/>
        <v>----</v>
      </c>
      <c r="G11" s="745"/>
      <c r="H11" s="813" t="str">
        <f t="shared" si="0"/>
        <v>----</v>
      </c>
      <c r="I11" s="740"/>
      <c r="J11" s="814" t="str">
        <f t="shared" si="1"/>
        <v>----</v>
      </c>
    </row>
    <row r="12" spans="1:11">
      <c r="A12" s="102"/>
      <c r="B12" s="103"/>
      <c r="C12" s="776"/>
      <c r="D12" s="735"/>
      <c r="E12" s="745"/>
      <c r="F12" s="813" t="str">
        <f t="shared" si="2"/>
        <v>----</v>
      </c>
      <c r="G12" s="745"/>
      <c r="H12" s="813" t="str">
        <f t="shared" si="0"/>
        <v>----</v>
      </c>
      <c r="I12" s="740"/>
      <c r="J12" s="814" t="str">
        <f t="shared" si="1"/>
        <v>----</v>
      </c>
    </row>
    <row r="13" spans="1:11">
      <c r="A13" s="102"/>
      <c r="B13" s="103"/>
      <c r="C13" s="776"/>
      <c r="D13" s="735"/>
      <c r="E13" s="745"/>
      <c r="F13" s="813" t="str">
        <f t="shared" si="2"/>
        <v>----</v>
      </c>
      <c r="G13" s="745"/>
      <c r="H13" s="813" t="str">
        <f t="shared" si="0"/>
        <v>----</v>
      </c>
      <c r="I13" s="740"/>
      <c r="J13" s="814" t="str">
        <f t="shared" si="1"/>
        <v>----</v>
      </c>
    </row>
    <row r="14" spans="1:11">
      <c r="A14" s="102"/>
      <c r="B14" s="103"/>
      <c r="C14" s="776"/>
      <c r="D14" s="735"/>
      <c r="E14" s="745"/>
      <c r="F14" s="813" t="str">
        <f t="shared" si="2"/>
        <v>----</v>
      </c>
      <c r="G14" s="745"/>
      <c r="H14" s="813" t="str">
        <f t="shared" si="0"/>
        <v>----</v>
      </c>
      <c r="I14" s="740"/>
      <c r="J14" s="814" t="str">
        <f t="shared" si="1"/>
        <v>----</v>
      </c>
    </row>
    <row r="15" spans="1:11">
      <c r="A15" s="102"/>
      <c r="B15" s="103"/>
      <c r="C15" s="776"/>
      <c r="D15" s="735"/>
      <c r="E15" s="745"/>
      <c r="F15" s="813" t="str">
        <f t="shared" si="2"/>
        <v>----</v>
      </c>
      <c r="G15" s="745"/>
      <c r="H15" s="813" t="str">
        <f t="shared" si="0"/>
        <v>----</v>
      </c>
      <c r="I15" s="740"/>
      <c r="J15" s="814" t="str">
        <f t="shared" si="1"/>
        <v>----</v>
      </c>
    </row>
    <row r="16" spans="1:11">
      <c r="A16" s="102"/>
      <c r="B16" s="103"/>
      <c r="C16" s="776"/>
      <c r="D16" s="735"/>
      <c r="E16" s="745"/>
      <c r="F16" s="813" t="str">
        <f t="shared" si="2"/>
        <v>----</v>
      </c>
      <c r="G16" s="745"/>
      <c r="H16" s="813" t="str">
        <f t="shared" si="0"/>
        <v>----</v>
      </c>
      <c r="I16" s="740"/>
      <c r="J16" s="814" t="str">
        <f t="shared" si="1"/>
        <v>----</v>
      </c>
    </row>
    <row r="17" spans="1:10">
      <c r="A17" s="102"/>
      <c r="B17" s="103"/>
      <c r="C17" s="776"/>
      <c r="D17" s="735"/>
      <c r="E17" s="745"/>
      <c r="F17" s="813" t="str">
        <f t="shared" si="2"/>
        <v>----</v>
      </c>
      <c r="G17" s="745"/>
      <c r="H17" s="813" t="str">
        <f t="shared" si="0"/>
        <v>----</v>
      </c>
      <c r="I17" s="740"/>
      <c r="J17" s="814" t="str">
        <f t="shared" si="1"/>
        <v>----</v>
      </c>
    </row>
    <row r="18" spans="1:10">
      <c r="A18" s="102"/>
      <c r="B18" s="103"/>
      <c r="C18" s="776"/>
      <c r="D18" s="735"/>
      <c r="E18" s="745"/>
      <c r="F18" s="813" t="str">
        <f t="shared" si="2"/>
        <v>----</v>
      </c>
      <c r="G18" s="745"/>
      <c r="H18" s="813" t="str">
        <f t="shared" si="0"/>
        <v>----</v>
      </c>
      <c r="I18" s="740"/>
      <c r="J18" s="814" t="str">
        <f t="shared" si="1"/>
        <v>----</v>
      </c>
    </row>
    <row r="19" spans="1:10">
      <c r="A19" s="116"/>
      <c r="B19" s="117"/>
      <c r="C19" s="779"/>
      <c r="D19" s="795"/>
      <c r="E19" s="746"/>
      <c r="F19" s="780" t="str">
        <f t="shared" si="2"/>
        <v>----</v>
      </c>
      <c r="G19" s="746"/>
      <c r="H19" s="780" t="str">
        <f t="shared" si="0"/>
        <v>----</v>
      </c>
      <c r="I19" s="741"/>
      <c r="J19" s="781" t="str">
        <f t="shared" si="1"/>
        <v>----</v>
      </c>
    </row>
    <row r="20" spans="1:10" ht="15.75" thickBot="1">
      <c r="A20" s="74"/>
      <c r="B20" s="75"/>
      <c r="C20" s="789"/>
      <c r="D20" s="796"/>
      <c r="E20" s="802"/>
      <c r="F20" s="807" t="str">
        <f t="shared" si="2"/>
        <v>----</v>
      </c>
      <c r="G20" s="802"/>
      <c r="H20" s="807" t="str">
        <f t="shared" si="0"/>
        <v>----</v>
      </c>
      <c r="I20" s="799"/>
      <c r="J20" s="808" t="str">
        <f t="shared" si="1"/>
        <v>----</v>
      </c>
    </row>
    <row r="21" spans="1:10" ht="15.75" thickBot="1">
      <c r="A21" s="27"/>
      <c r="B21" s="27"/>
      <c r="C21" s="28"/>
      <c r="D21" s="28"/>
      <c r="E21" s="441"/>
      <c r="F21" s="443">
        <f>SUM(F4:F20)</f>
        <v>0</v>
      </c>
      <c r="G21" s="441"/>
      <c r="H21" s="443">
        <f>SUM(H4:H20)</f>
        <v>0</v>
      </c>
      <c r="I21" s="28"/>
      <c r="J21" s="69">
        <f>SUM(J4:J20)</f>
        <v>0</v>
      </c>
    </row>
  </sheetData>
  <mergeCells count="9">
    <mergeCell ref="A6:A7"/>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4" bestFit="1" customWidth="1"/>
    <col min="6" max="6" width="9.5703125" style="434" bestFit="1" customWidth="1"/>
    <col min="7" max="7" width="10.7109375" style="434" bestFit="1" customWidth="1"/>
    <col min="8" max="8" width="9.5703125" style="434" bestFit="1" customWidth="1"/>
    <col min="9" max="9" width="10.7109375" bestFit="1" customWidth="1"/>
    <col min="10" max="10" width="10.42578125" bestFit="1" customWidth="1"/>
  </cols>
  <sheetData>
    <row r="1" spans="1:10" ht="15.75" thickBot="1">
      <c r="A1" s="958" t="s">
        <v>258</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44180</v>
      </c>
      <c r="B4" s="71" t="s">
        <v>363</v>
      </c>
      <c r="C4" s="787">
        <v>814685.26</v>
      </c>
      <c r="D4" s="793">
        <f>C4</f>
        <v>814685.26</v>
      </c>
      <c r="E4" s="800">
        <v>813336.16</v>
      </c>
      <c r="F4" s="809">
        <f>IF(ISBLANK(E4),"----",E4-$D4)</f>
        <v>-1349.0999999999767</v>
      </c>
      <c r="G4" s="800" t="s">
        <v>703</v>
      </c>
      <c r="H4" s="809" t="str">
        <f t="shared" ref="H4:H20" si="0">IF(OR(G4="Complete",ISBLANK(G4)),"----",G4-$D4)</f>
        <v>----</v>
      </c>
      <c r="I4" s="797" t="s">
        <v>703</v>
      </c>
      <c r="J4" s="810" t="str">
        <f t="shared" ref="J4:J20" si="1">IF(OR(I4="Complete",ISBLANK(I4)),"----",I4-$D4)</f>
        <v>----</v>
      </c>
    </row>
    <row r="5" spans="1:10">
      <c r="A5" s="88">
        <v>45097</v>
      </c>
      <c r="B5" s="101" t="s">
        <v>649</v>
      </c>
      <c r="C5" s="790">
        <v>422511.5</v>
      </c>
      <c r="D5" s="794">
        <f>C5</f>
        <v>422511.5</v>
      </c>
      <c r="E5" s="801"/>
      <c r="F5" s="813" t="str">
        <f t="shared" ref="F5:F20" si="2">IF(ISBLANK(E5),"----",E5-$D5)</f>
        <v>----</v>
      </c>
      <c r="G5" s="801"/>
      <c r="H5" s="813" t="str">
        <f t="shared" si="0"/>
        <v>----</v>
      </c>
      <c r="I5" s="798">
        <v>400717.35</v>
      </c>
      <c r="J5" s="814">
        <f t="shared" si="1"/>
        <v>-21794.150000000023</v>
      </c>
    </row>
    <row r="6" spans="1:10">
      <c r="A6" s="91">
        <v>45097</v>
      </c>
      <c r="B6" s="92" t="s">
        <v>650</v>
      </c>
      <c r="C6" s="788">
        <v>364520</v>
      </c>
      <c r="D6" s="803">
        <f>C6</f>
        <v>364520</v>
      </c>
      <c r="E6" s="805"/>
      <c r="F6" s="668" t="str">
        <f t="shared" si="2"/>
        <v>----</v>
      </c>
      <c r="G6" s="805"/>
      <c r="H6" s="668" t="str">
        <f t="shared" si="0"/>
        <v>----</v>
      </c>
      <c r="I6" s="804"/>
      <c r="J6" s="669" t="str">
        <f t="shared" si="1"/>
        <v>----</v>
      </c>
    </row>
    <row r="7" spans="1:10">
      <c r="A7" s="88">
        <v>45342</v>
      </c>
      <c r="B7" s="450" t="s">
        <v>724</v>
      </c>
      <c r="C7" s="790">
        <v>399900.75</v>
      </c>
      <c r="D7" s="794">
        <f>C7</f>
        <v>399900.75</v>
      </c>
      <c r="E7" s="801"/>
      <c r="F7" s="813" t="str">
        <f t="shared" si="2"/>
        <v>----</v>
      </c>
      <c r="G7" s="801"/>
      <c r="H7" s="813" t="str">
        <f t="shared" si="0"/>
        <v>----</v>
      </c>
      <c r="I7" s="798"/>
      <c r="J7" s="814" t="str">
        <f t="shared" si="1"/>
        <v>----</v>
      </c>
    </row>
    <row r="8" spans="1:10">
      <c r="A8" s="91">
        <v>45489</v>
      </c>
      <c r="B8" s="413" t="s">
        <v>762</v>
      </c>
      <c r="C8" s="788">
        <v>770929.9</v>
      </c>
      <c r="D8" s="803">
        <f>C8</f>
        <v>770929.9</v>
      </c>
      <c r="E8" s="805"/>
      <c r="F8" s="668" t="str">
        <f t="shared" si="2"/>
        <v>----</v>
      </c>
      <c r="G8" s="805"/>
      <c r="H8" s="668" t="str">
        <f t="shared" si="0"/>
        <v>----</v>
      </c>
      <c r="I8" s="804"/>
      <c r="J8" s="669" t="str">
        <f t="shared" si="1"/>
        <v>----</v>
      </c>
    </row>
    <row r="9" spans="1:10">
      <c r="A9" s="88"/>
      <c r="B9" s="101"/>
      <c r="C9" s="790"/>
      <c r="D9" s="794"/>
      <c r="E9" s="801"/>
      <c r="F9" s="813" t="str">
        <f t="shared" si="2"/>
        <v>----</v>
      </c>
      <c r="G9" s="801"/>
      <c r="H9" s="813" t="str">
        <f t="shared" si="0"/>
        <v>----</v>
      </c>
      <c r="I9" s="798"/>
      <c r="J9" s="814" t="str">
        <f t="shared" si="1"/>
        <v>----</v>
      </c>
    </row>
    <row r="10" spans="1:10">
      <c r="A10" s="91"/>
      <c r="B10" s="92"/>
      <c r="C10" s="788"/>
      <c r="D10" s="803"/>
      <c r="E10" s="805"/>
      <c r="F10" s="668" t="str">
        <f t="shared" si="2"/>
        <v>----</v>
      </c>
      <c r="G10" s="805"/>
      <c r="H10" s="668" t="str">
        <f t="shared" si="0"/>
        <v>----</v>
      </c>
      <c r="I10" s="804"/>
      <c r="J10" s="669" t="str">
        <f t="shared" si="1"/>
        <v>----</v>
      </c>
    </row>
    <row r="11" spans="1:10">
      <c r="A11" s="88"/>
      <c r="B11" s="101"/>
      <c r="C11" s="790"/>
      <c r="D11" s="794"/>
      <c r="E11" s="801"/>
      <c r="F11" s="813" t="str">
        <f t="shared" si="2"/>
        <v>----</v>
      </c>
      <c r="G11" s="801"/>
      <c r="H11" s="813" t="str">
        <f t="shared" si="0"/>
        <v>----</v>
      </c>
      <c r="I11" s="798"/>
      <c r="J11" s="814" t="str">
        <f t="shared" si="1"/>
        <v>----</v>
      </c>
    </row>
    <row r="12" spans="1:10">
      <c r="A12" s="88"/>
      <c r="B12" s="101"/>
      <c r="C12" s="790"/>
      <c r="D12" s="794"/>
      <c r="E12" s="801"/>
      <c r="F12" s="813" t="str">
        <f t="shared" si="2"/>
        <v>----</v>
      </c>
      <c r="G12" s="801"/>
      <c r="H12" s="813" t="str">
        <f t="shared" si="0"/>
        <v>----</v>
      </c>
      <c r="I12" s="798"/>
      <c r="J12" s="814" t="str">
        <f t="shared" si="1"/>
        <v>----</v>
      </c>
    </row>
    <row r="13" spans="1:10">
      <c r="A13" s="91"/>
      <c r="B13" s="92"/>
      <c r="C13" s="788"/>
      <c r="D13" s="803"/>
      <c r="E13" s="805"/>
      <c r="F13" s="668" t="str">
        <f t="shared" si="2"/>
        <v>----</v>
      </c>
      <c r="G13" s="805"/>
      <c r="H13" s="668" t="str">
        <f t="shared" si="0"/>
        <v>----</v>
      </c>
      <c r="I13" s="804"/>
      <c r="J13" s="669" t="str">
        <f t="shared" si="1"/>
        <v>----</v>
      </c>
    </row>
    <row r="14" spans="1:10">
      <c r="A14" s="88"/>
      <c r="B14" s="101"/>
      <c r="C14" s="790"/>
      <c r="D14" s="794"/>
      <c r="E14" s="801"/>
      <c r="F14" s="813" t="str">
        <f t="shared" si="2"/>
        <v>----</v>
      </c>
      <c r="G14" s="801"/>
      <c r="H14" s="813" t="str">
        <f t="shared" si="0"/>
        <v>----</v>
      </c>
      <c r="I14" s="798"/>
      <c r="J14" s="814" t="str">
        <f t="shared" si="1"/>
        <v>----</v>
      </c>
    </row>
    <row r="15" spans="1:10">
      <c r="A15" s="91"/>
      <c r="B15" s="92"/>
      <c r="C15" s="788"/>
      <c r="D15" s="803"/>
      <c r="E15" s="805"/>
      <c r="F15" s="668" t="str">
        <f t="shared" si="2"/>
        <v>----</v>
      </c>
      <c r="G15" s="805"/>
      <c r="H15" s="668" t="str">
        <f t="shared" si="0"/>
        <v>----</v>
      </c>
      <c r="I15" s="804"/>
      <c r="J15" s="669" t="str">
        <f t="shared" si="1"/>
        <v>----</v>
      </c>
    </row>
    <row r="16" spans="1:10">
      <c r="A16" s="88"/>
      <c r="B16" s="101"/>
      <c r="C16" s="790"/>
      <c r="D16" s="794"/>
      <c r="E16" s="801"/>
      <c r="F16" s="813" t="str">
        <f t="shared" si="2"/>
        <v>----</v>
      </c>
      <c r="G16" s="801"/>
      <c r="H16" s="813" t="str">
        <f t="shared" si="0"/>
        <v>----</v>
      </c>
      <c r="I16" s="798"/>
      <c r="J16" s="814" t="str">
        <f t="shared" si="1"/>
        <v>----</v>
      </c>
    </row>
    <row r="17" spans="1:10">
      <c r="A17" s="91"/>
      <c r="B17" s="92"/>
      <c r="C17" s="788"/>
      <c r="D17" s="803"/>
      <c r="E17" s="805"/>
      <c r="F17" s="668" t="str">
        <f t="shared" si="2"/>
        <v>----</v>
      </c>
      <c r="G17" s="805"/>
      <c r="H17" s="668" t="str">
        <f t="shared" si="0"/>
        <v>----</v>
      </c>
      <c r="I17" s="804"/>
      <c r="J17" s="669" t="str">
        <f t="shared" si="1"/>
        <v>----</v>
      </c>
    </row>
    <row r="18" spans="1:10">
      <c r="A18" s="88"/>
      <c r="B18" s="101"/>
      <c r="C18" s="790"/>
      <c r="D18" s="794"/>
      <c r="E18" s="801"/>
      <c r="F18" s="813" t="str">
        <f t="shared" si="2"/>
        <v>----</v>
      </c>
      <c r="G18" s="801"/>
      <c r="H18" s="813" t="str">
        <f t="shared" si="0"/>
        <v>----</v>
      </c>
      <c r="I18" s="798"/>
      <c r="J18" s="814" t="str">
        <f t="shared" si="1"/>
        <v>----</v>
      </c>
    </row>
    <row r="19" spans="1:10">
      <c r="A19" s="91"/>
      <c r="B19" s="92"/>
      <c r="C19" s="788"/>
      <c r="D19" s="803"/>
      <c r="E19" s="805"/>
      <c r="F19" s="668" t="str">
        <f t="shared" si="2"/>
        <v>----</v>
      </c>
      <c r="G19" s="805"/>
      <c r="H19" s="668" t="str">
        <f t="shared" si="0"/>
        <v>----</v>
      </c>
      <c r="I19" s="804"/>
      <c r="J19" s="669" t="str">
        <f t="shared" si="1"/>
        <v>----</v>
      </c>
    </row>
    <row r="20" spans="1:10" ht="15.75" thickBot="1">
      <c r="A20" s="74"/>
      <c r="B20" s="75"/>
      <c r="C20" s="789"/>
      <c r="D20" s="796"/>
      <c r="E20" s="802"/>
      <c r="F20" s="807" t="str">
        <f t="shared" si="2"/>
        <v>----</v>
      </c>
      <c r="G20" s="802"/>
      <c r="H20" s="807" t="str">
        <f t="shared" si="0"/>
        <v>----</v>
      </c>
      <c r="I20" s="799"/>
      <c r="J20" s="808" t="str">
        <f t="shared" si="1"/>
        <v>----</v>
      </c>
    </row>
    <row r="21" spans="1:10" ht="15.75" thickBot="1">
      <c r="A21" s="27"/>
      <c r="B21" s="27"/>
      <c r="C21" s="820"/>
      <c r="D21" s="820"/>
      <c r="E21" s="820"/>
      <c r="F21" s="821">
        <f>SUM(F4:F20)</f>
        <v>-1349.0999999999767</v>
      </c>
      <c r="G21" s="820"/>
      <c r="H21" s="821">
        <f>SUM(H4:H20)</f>
        <v>0</v>
      </c>
      <c r="I21" s="820"/>
      <c r="J21" s="821">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4"/>
  </cols>
  <sheetData>
    <row r="1" spans="1:10" ht="15.75" thickBot="1">
      <c r="A1" s="958" t="s">
        <v>259</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69" thickBot="1">
      <c r="A3" s="966"/>
      <c r="B3" s="968"/>
      <c r="C3" s="968"/>
      <c r="D3" s="970"/>
      <c r="E3" s="462" t="s">
        <v>121</v>
      </c>
      <c r="F3" s="470" t="s">
        <v>704</v>
      </c>
      <c r="G3" s="462" t="s">
        <v>121</v>
      </c>
      <c r="H3" s="470" t="s">
        <v>704</v>
      </c>
      <c r="I3" s="480" t="s">
        <v>121</v>
      </c>
      <c r="J3" s="25" t="s">
        <v>704</v>
      </c>
    </row>
    <row r="4" spans="1:10">
      <c r="A4" s="70"/>
      <c r="B4" s="71"/>
      <c r="C4" s="72"/>
      <c r="D4" s="431"/>
      <c r="E4" s="471"/>
      <c r="F4" s="472" t="str">
        <f>IF(ISBLANK(E4),"----",E4-$D4)</f>
        <v>----</v>
      </c>
      <c r="G4" s="471"/>
      <c r="H4" s="472" t="str">
        <f>IF(OR(G4="Complete",ISBLANK(G4)),"----",G4-$D4)</f>
        <v>----</v>
      </c>
      <c r="I4" s="481"/>
      <c r="J4" s="73" t="str">
        <f>IF(OR(I4="Complete",ISBLANK(I4)),"----",I4-$D4)</f>
        <v>----</v>
      </c>
    </row>
    <row r="5" spans="1:10">
      <c r="A5" s="88"/>
      <c r="B5" s="101"/>
      <c r="C5" s="82"/>
      <c r="D5" s="433"/>
      <c r="E5" s="473"/>
      <c r="F5" s="474" t="str">
        <f t="shared" ref="F5:F7" si="0">IF(ISBLANK(E5),"----",E5-$D5)</f>
        <v>----</v>
      </c>
      <c r="G5" s="473"/>
      <c r="H5" s="474" t="str">
        <f>IF(OR(G5="Complete",ISBLANK(G5)),"----",G5-$D5)</f>
        <v>----</v>
      </c>
      <c r="I5" s="486"/>
      <c r="J5" s="83" t="str">
        <f>IF(OR(I5="Complete",ISBLANK(I5)),"----",I5-$D5)</f>
        <v>----</v>
      </c>
    </row>
    <row r="6" spans="1:10">
      <c r="A6" s="91"/>
      <c r="B6" s="92"/>
      <c r="C6" s="84"/>
      <c r="D6" s="479"/>
      <c r="E6" s="484"/>
      <c r="F6" s="485" t="str">
        <f t="shared" si="0"/>
        <v>----</v>
      </c>
      <c r="G6" s="484"/>
      <c r="H6" s="485" t="str">
        <f>IF(OR(G6="Complete",ISBLANK(G6)),"----",G6-$D6)</f>
        <v>----</v>
      </c>
      <c r="I6" s="482"/>
      <c r="J6" s="85" t="str">
        <f>IF(OR(I6="Complete",ISBLANK(I6)),"----",I6-$D6)</f>
        <v>----</v>
      </c>
    </row>
    <row r="7" spans="1:10" ht="15.75" thickBot="1">
      <c r="A7" s="74"/>
      <c r="B7" s="75"/>
      <c r="C7" s="76"/>
      <c r="D7" s="432"/>
      <c r="E7" s="477"/>
      <c r="F7" s="478" t="str">
        <f t="shared" si="0"/>
        <v>----</v>
      </c>
      <c r="G7" s="477"/>
      <c r="H7" s="478" t="str">
        <f>IF(OR(G7="Complete",ISBLANK(G7)),"----",G7-$D7)</f>
        <v>----</v>
      </c>
      <c r="I7" s="483"/>
      <c r="J7" s="77" t="str">
        <f>IF(OR(I7="Complete",ISBLANK(I7)),"----",I7-$D7)</f>
        <v>----</v>
      </c>
    </row>
    <row r="8" spans="1:10"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1" sqref="D21"/>
    </sheetView>
  </sheetViews>
  <sheetFormatPr defaultRowHeight="15"/>
  <cols>
    <col min="2" max="2" width="22.85546875" bestFit="1" customWidth="1"/>
    <col min="3" max="3" width="12.5703125" bestFit="1" customWidth="1"/>
    <col min="4" max="4" width="11.140625" customWidth="1"/>
    <col min="5" max="5" width="10.7109375" style="434" bestFit="1" customWidth="1"/>
    <col min="6" max="6" width="11.5703125" style="434" customWidth="1"/>
    <col min="7" max="7" width="10.7109375" style="434" bestFit="1" customWidth="1"/>
    <col min="8" max="8" width="11.5703125" style="434" customWidth="1"/>
    <col min="9" max="9" width="10.7109375" bestFit="1" customWidth="1"/>
    <col min="10" max="10" width="11.5703125" customWidth="1"/>
  </cols>
  <sheetData>
    <row r="1" spans="1:11" ht="15.75" thickBot="1">
      <c r="A1" s="958" t="s">
        <v>137</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99">
        <v>43788</v>
      </c>
      <c r="B4" s="100" t="s">
        <v>147</v>
      </c>
      <c r="C4" s="750">
        <v>597115.5</v>
      </c>
      <c r="D4" s="751">
        <v>477692.4</v>
      </c>
      <c r="E4" s="752"/>
      <c r="F4" s="753" t="str">
        <f>IF(ISBLANK(E4),"----",E4-$D4)</f>
        <v>----</v>
      </c>
      <c r="G4" s="752"/>
      <c r="H4" s="753" t="str">
        <f t="shared" ref="H4:H28" si="0">IF(OR(G4="Complete",ISBLANK(G4)),"----",G4-$D4)</f>
        <v>----</v>
      </c>
      <c r="I4" s="754"/>
      <c r="J4" s="755" t="str">
        <f t="shared" ref="J4:J28" si="1">IF(OR(I4="Complete",ISBLANK(I4)),"----",I4-$D4)</f>
        <v>----</v>
      </c>
      <c r="K4" t="s">
        <v>148</v>
      </c>
    </row>
    <row r="5" spans="1:11">
      <c r="A5" s="127">
        <v>43998</v>
      </c>
      <c r="B5" s="128" t="s">
        <v>291</v>
      </c>
      <c r="C5" s="756">
        <v>179894</v>
      </c>
      <c r="D5" s="757">
        <v>143915.20000000001</v>
      </c>
      <c r="E5" s="758"/>
      <c r="F5" s="759" t="str">
        <f t="shared" ref="F5:F28" si="2">IF(ISBLANK(E5),"----",E5-$D5)</f>
        <v>----</v>
      </c>
      <c r="G5" s="758"/>
      <c r="H5" s="759" t="str">
        <f t="shared" si="0"/>
        <v>----</v>
      </c>
      <c r="I5" s="760"/>
      <c r="J5" s="761" t="str">
        <f t="shared" si="1"/>
        <v>----</v>
      </c>
    </row>
    <row r="6" spans="1:11">
      <c r="A6" s="120">
        <v>44153</v>
      </c>
      <c r="B6" s="121" t="s">
        <v>329</v>
      </c>
      <c r="C6" s="731">
        <v>281201.7</v>
      </c>
      <c r="D6" s="748">
        <f t="shared" ref="D6:D12" si="3">C6</f>
        <v>281201.7</v>
      </c>
      <c r="E6" s="762">
        <v>266195.14</v>
      </c>
      <c r="F6" s="759">
        <f t="shared" si="2"/>
        <v>-15006.559999999998</v>
      </c>
      <c r="G6" s="762" t="s">
        <v>703</v>
      </c>
      <c r="H6" s="759" t="str">
        <f t="shared" si="0"/>
        <v>----</v>
      </c>
      <c r="I6" s="763" t="s">
        <v>703</v>
      </c>
      <c r="J6" s="761" t="str">
        <f t="shared" si="1"/>
        <v>----</v>
      </c>
    </row>
    <row r="7" spans="1:11">
      <c r="A7" s="120">
        <v>44243</v>
      </c>
      <c r="B7" s="121" t="s">
        <v>396</v>
      </c>
      <c r="C7" s="731">
        <v>103731.6</v>
      </c>
      <c r="D7" s="748">
        <f t="shared" si="3"/>
        <v>103731.6</v>
      </c>
      <c r="E7" s="762">
        <v>103779.55</v>
      </c>
      <c r="F7" s="759">
        <f t="shared" si="2"/>
        <v>47.94999999999709</v>
      </c>
      <c r="G7" s="762" t="s">
        <v>703</v>
      </c>
      <c r="H7" s="759" t="str">
        <f t="shared" si="0"/>
        <v>----</v>
      </c>
      <c r="I7" s="763" t="s">
        <v>703</v>
      </c>
      <c r="J7" s="761" t="str">
        <f t="shared" si="1"/>
        <v>----</v>
      </c>
    </row>
    <row r="8" spans="1:11">
      <c r="A8" s="120">
        <v>44243</v>
      </c>
      <c r="B8" s="121" t="s">
        <v>397</v>
      </c>
      <c r="C8" s="731">
        <v>495760.5</v>
      </c>
      <c r="D8" s="748">
        <f t="shared" si="3"/>
        <v>495760.5</v>
      </c>
      <c r="E8" s="762">
        <v>493060.52</v>
      </c>
      <c r="F8" s="759">
        <f t="shared" si="2"/>
        <v>-2699.9799999999814</v>
      </c>
      <c r="G8" s="762" t="s">
        <v>703</v>
      </c>
      <c r="H8" s="759" t="str">
        <f t="shared" si="0"/>
        <v>----</v>
      </c>
      <c r="I8" s="763" t="s">
        <v>703</v>
      </c>
      <c r="J8" s="761" t="str">
        <f t="shared" si="1"/>
        <v>----</v>
      </c>
    </row>
    <row r="9" spans="1:11">
      <c r="A9" s="120">
        <v>44271</v>
      </c>
      <c r="B9" s="121" t="s">
        <v>406</v>
      </c>
      <c r="C9" s="731">
        <v>324861.8</v>
      </c>
      <c r="D9" s="748">
        <f t="shared" si="3"/>
        <v>324861.8</v>
      </c>
      <c r="E9" s="762">
        <v>323236.81</v>
      </c>
      <c r="F9" s="759">
        <f t="shared" si="2"/>
        <v>-1624.9899999999907</v>
      </c>
      <c r="G9" s="762" t="s">
        <v>703</v>
      </c>
      <c r="H9" s="759" t="str">
        <f t="shared" si="0"/>
        <v>----</v>
      </c>
      <c r="I9" s="763" t="s">
        <v>703</v>
      </c>
      <c r="J9" s="761" t="str">
        <f t="shared" si="1"/>
        <v>----</v>
      </c>
    </row>
    <row r="10" spans="1:11">
      <c r="A10" s="219">
        <v>44397</v>
      </c>
      <c r="B10" s="220" t="s">
        <v>434</v>
      </c>
      <c r="C10" s="764">
        <f>164988.83/2</f>
        <v>82494.414999999994</v>
      </c>
      <c r="D10" s="765">
        <f t="shared" si="3"/>
        <v>82494.414999999994</v>
      </c>
      <c r="E10" s="766">
        <v>75833.789999999994</v>
      </c>
      <c r="F10" s="767">
        <f t="shared" si="2"/>
        <v>-6660.625</v>
      </c>
      <c r="G10" s="766" t="s">
        <v>703</v>
      </c>
      <c r="H10" s="767" t="str">
        <f t="shared" si="0"/>
        <v>----</v>
      </c>
      <c r="I10" s="768" t="s">
        <v>703</v>
      </c>
      <c r="J10" s="769" t="str">
        <f t="shared" si="1"/>
        <v>----</v>
      </c>
      <c r="K10" t="s">
        <v>436</v>
      </c>
    </row>
    <row r="11" spans="1:11">
      <c r="A11" s="123">
        <v>44580</v>
      </c>
      <c r="B11" s="124" t="s">
        <v>491</v>
      </c>
      <c r="C11" s="732">
        <v>347870.6</v>
      </c>
      <c r="D11" s="749">
        <f t="shared" si="3"/>
        <v>347870.6</v>
      </c>
      <c r="E11" s="770">
        <v>339834.86</v>
      </c>
      <c r="F11" s="759">
        <f t="shared" si="2"/>
        <v>-8035.7399999999907</v>
      </c>
      <c r="G11" s="770" t="s">
        <v>703</v>
      </c>
      <c r="H11" s="759" t="str">
        <f t="shared" si="0"/>
        <v>----</v>
      </c>
      <c r="I11" s="771" t="s">
        <v>703</v>
      </c>
      <c r="J11" s="761" t="str">
        <f t="shared" si="1"/>
        <v>----</v>
      </c>
    </row>
    <row r="12" spans="1:11">
      <c r="A12" s="120">
        <v>44761</v>
      </c>
      <c r="B12" s="121" t="s">
        <v>147</v>
      </c>
      <c r="C12" s="731">
        <v>224088.2</v>
      </c>
      <c r="D12" s="749">
        <f t="shared" si="3"/>
        <v>224088.2</v>
      </c>
      <c r="E12" s="762">
        <v>224088.2</v>
      </c>
      <c r="F12" s="759">
        <f t="shared" si="2"/>
        <v>0</v>
      </c>
      <c r="G12" s="762" t="s">
        <v>703</v>
      </c>
      <c r="H12" s="759" t="str">
        <f t="shared" si="0"/>
        <v>----</v>
      </c>
      <c r="I12" s="763" t="s">
        <v>703</v>
      </c>
      <c r="J12" s="761" t="str">
        <f t="shared" si="1"/>
        <v>----</v>
      </c>
      <c r="K12" t="s">
        <v>546</v>
      </c>
    </row>
    <row r="13" spans="1:11">
      <c r="A13" s="123">
        <v>44761</v>
      </c>
      <c r="B13" s="124" t="s">
        <v>545</v>
      </c>
      <c r="C13" s="732">
        <f>206085/2</f>
        <v>103042.5</v>
      </c>
      <c r="D13" s="749">
        <f>C13</f>
        <v>103042.5</v>
      </c>
      <c r="E13" s="770">
        <v>104248.34</v>
      </c>
      <c r="F13" s="759">
        <f t="shared" si="2"/>
        <v>1205.8399999999965</v>
      </c>
      <c r="G13" s="770" t="s">
        <v>703</v>
      </c>
      <c r="H13" s="759" t="str">
        <f t="shared" si="0"/>
        <v>----</v>
      </c>
      <c r="I13" s="771" t="s">
        <v>703</v>
      </c>
      <c r="J13" s="761" t="str">
        <f t="shared" si="1"/>
        <v>----</v>
      </c>
      <c r="K13" t="s">
        <v>556</v>
      </c>
    </row>
    <row r="14" spans="1:11">
      <c r="A14" s="120">
        <v>45062</v>
      </c>
      <c r="B14" s="121" t="s">
        <v>645</v>
      </c>
      <c r="C14" s="731">
        <v>388864.8</v>
      </c>
      <c r="D14" s="748">
        <f>C14</f>
        <v>388864.8</v>
      </c>
      <c r="E14" s="762"/>
      <c r="F14" s="759" t="str">
        <f t="shared" si="2"/>
        <v>----</v>
      </c>
      <c r="G14" s="762">
        <v>388864.8</v>
      </c>
      <c r="H14" s="759">
        <f t="shared" si="0"/>
        <v>0</v>
      </c>
      <c r="I14" s="771" t="s">
        <v>703</v>
      </c>
      <c r="J14" s="761" t="str">
        <f t="shared" si="1"/>
        <v>----</v>
      </c>
    </row>
    <row r="15" spans="1:11">
      <c r="A15" s="123">
        <v>45062</v>
      </c>
      <c r="B15" s="124" t="s">
        <v>646</v>
      </c>
      <c r="C15" s="732">
        <v>369684.07</v>
      </c>
      <c r="D15" s="749">
        <f>C15</f>
        <v>369684.07</v>
      </c>
      <c r="E15" s="770"/>
      <c r="F15" s="759" t="str">
        <f t="shared" si="2"/>
        <v>----</v>
      </c>
      <c r="G15" s="770">
        <v>373252.12</v>
      </c>
      <c r="H15" s="759">
        <f t="shared" si="0"/>
        <v>3568.0499999999884</v>
      </c>
      <c r="I15" s="771" t="s">
        <v>703</v>
      </c>
      <c r="J15" s="761" t="str">
        <f t="shared" si="1"/>
        <v>----</v>
      </c>
    </row>
    <row r="16" spans="1:11">
      <c r="A16" s="120">
        <v>45398</v>
      </c>
      <c r="B16" s="121" t="s">
        <v>738</v>
      </c>
      <c r="C16" s="731">
        <v>403283.9</v>
      </c>
      <c r="D16" s="748">
        <f>C16</f>
        <v>403283.9</v>
      </c>
      <c r="E16" s="762"/>
      <c r="F16" s="759" t="str">
        <f t="shared" si="2"/>
        <v>----</v>
      </c>
      <c r="G16" s="762"/>
      <c r="H16" s="759" t="str">
        <f t="shared" si="0"/>
        <v>----</v>
      </c>
      <c r="I16" s="763"/>
      <c r="J16" s="761" t="str">
        <f t="shared" si="1"/>
        <v>----</v>
      </c>
    </row>
    <row r="17" spans="1:11" s="434" customFormat="1">
      <c r="A17" s="123">
        <v>45489</v>
      </c>
      <c r="B17" s="124" t="s">
        <v>760</v>
      </c>
      <c r="C17" s="732">
        <v>1552973.7</v>
      </c>
      <c r="D17" s="748">
        <f>C17-1500000</f>
        <v>52973.699999999953</v>
      </c>
      <c r="E17" s="770"/>
      <c r="F17" s="759" t="str">
        <f t="shared" ref="F17:F26" si="4">IF(ISBLANK(E17),"----",E17-$D17)</f>
        <v>----</v>
      </c>
      <c r="G17" s="770"/>
      <c r="H17" s="759" t="str">
        <f t="shared" si="0"/>
        <v>----</v>
      </c>
      <c r="I17" s="771"/>
      <c r="J17" s="761" t="str">
        <f t="shared" ref="J17:J26" si="5">IF(OR(I17="Complete",ISBLANK(I17)),"----",I17-$D17)</f>
        <v>----</v>
      </c>
      <c r="K17" s="434" t="s">
        <v>766</v>
      </c>
    </row>
    <row r="18" spans="1:11" s="434" customFormat="1">
      <c r="A18" s="123">
        <v>45489</v>
      </c>
      <c r="B18" s="124" t="s">
        <v>761</v>
      </c>
      <c r="C18" s="732">
        <v>375466.68</v>
      </c>
      <c r="D18" s="748">
        <f t="shared" ref="D18" si="6">C18</f>
        <v>375466.68</v>
      </c>
      <c r="E18" s="770"/>
      <c r="F18" s="759" t="str">
        <f t="shared" si="4"/>
        <v>----</v>
      </c>
      <c r="G18" s="770"/>
      <c r="H18" s="759" t="str">
        <f t="shared" si="0"/>
        <v>----</v>
      </c>
      <c r="I18" s="771"/>
      <c r="J18" s="761" t="str">
        <f t="shared" si="5"/>
        <v>----</v>
      </c>
    </row>
    <row r="19" spans="1:11" s="434" customFormat="1">
      <c r="A19" s="722">
        <v>45643</v>
      </c>
      <c r="B19" s="723" t="s">
        <v>801</v>
      </c>
      <c r="C19" s="732">
        <v>169273</v>
      </c>
      <c r="D19" s="749">
        <f>C19</f>
        <v>169273</v>
      </c>
      <c r="E19" s="770"/>
      <c r="F19" s="759" t="str">
        <f t="shared" si="4"/>
        <v>----</v>
      </c>
      <c r="G19" s="770"/>
      <c r="H19" s="759" t="str">
        <f t="shared" si="0"/>
        <v>----</v>
      </c>
      <c r="I19" s="771"/>
      <c r="J19" s="761" t="str">
        <f t="shared" si="5"/>
        <v>----</v>
      </c>
    </row>
    <row r="20" spans="1:11" s="434" customFormat="1">
      <c r="A20" s="123">
        <v>45916</v>
      </c>
      <c r="B20" s="723" t="s">
        <v>906</v>
      </c>
      <c r="C20" s="732">
        <v>396479.75</v>
      </c>
      <c r="D20" s="749">
        <f>C20</f>
        <v>396479.75</v>
      </c>
      <c r="E20" s="770"/>
      <c r="F20" s="759" t="str">
        <f t="shared" si="4"/>
        <v>----</v>
      </c>
      <c r="G20" s="770"/>
      <c r="H20" s="759" t="str">
        <f t="shared" si="0"/>
        <v>----</v>
      </c>
      <c r="I20" s="771"/>
      <c r="J20" s="761" t="str">
        <f t="shared" si="5"/>
        <v>----</v>
      </c>
    </row>
    <row r="21" spans="1:11" s="434" customFormat="1">
      <c r="A21" s="123"/>
      <c r="B21" s="124"/>
      <c r="C21" s="732"/>
      <c r="D21" s="749"/>
      <c r="E21" s="770"/>
      <c r="F21" s="759" t="str">
        <f t="shared" si="4"/>
        <v>----</v>
      </c>
      <c r="G21" s="770"/>
      <c r="H21" s="759" t="str">
        <f t="shared" si="0"/>
        <v>----</v>
      </c>
      <c r="I21" s="771"/>
      <c r="J21" s="761" t="str">
        <f t="shared" si="5"/>
        <v>----</v>
      </c>
    </row>
    <row r="22" spans="1:11" s="434" customFormat="1">
      <c r="A22" s="123"/>
      <c r="B22" s="124"/>
      <c r="C22" s="732"/>
      <c r="D22" s="749"/>
      <c r="E22" s="770"/>
      <c r="F22" s="759" t="str">
        <f t="shared" si="4"/>
        <v>----</v>
      </c>
      <c r="G22" s="770"/>
      <c r="H22" s="759" t="str">
        <f t="shared" si="0"/>
        <v>----</v>
      </c>
      <c r="I22" s="771"/>
      <c r="J22" s="761" t="str">
        <f t="shared" si="5"/>
        <v>----</v>
      </c>
    </row>
    <row r="23" spans="1:11" s="434" customFormat="1">
      <c r="A23" s="123"/>
      <c r="B23" s="124"/>
      <c r="C23" s="732"/>
      <c r="D23" s="749"/>
      <c r="E23" s="770"/>
      <c r="F23" s="759" t="str">
        <f t="shared" si="4"/>
        <v>----</v>
      </c>
      <c r="G23" s="770"/>
      <c r="H23" s="759" t="str">
        <f t="shared" si="0"/>
        <v>----</v>
      </c>
      <c r="I23" s="771"/>
      <c r="J23" s="761" t="str">
        <f t="shared" si="5"/>
        <v>----</v>
      </c>
    </row>
    <row r="24" spans="1:11" s="434" customFormat="1">
      <c r="A24" s="123"/>
      <c r="B24" s="124"/>
      <c r="C24" s="732"/>
      <c r="D24" s="749"/>
      <c r="E24" s="770"/>
      <c r="F24" s="759" t="str">
        <f t="shared" si="4"/>
        <v>----</v>
      </c>
      <c r="G24" s="770"/>
      <c r="H24" s="759" t="str">
        <f t="shared" si="0"/>
        <v>----</v>
      </c>
      <c r="I24" s="771"/>
      <c r="J24" s="761" t="str">
        <f t="shared" si="5"/>
        <v>----</v>
      </c>
    </row>
    <row r="25" spans="1:11" s="434" customFormat="1">
      <c r="A25" s="123"/>
      <c r="B25" s="124"/>
      <c r="C25" s="732"/>
      <c r="D25" s="749"/>
      <c r="E25" s="770"/>
      <c r="F25" s="759" t="str">
        <f t="shared" si="4"/>
        <v>----</v>
      </c>
      <c r="G25" s="770"/>
      <c r="H25" s="759" t="str">
        <f t="shared" si="0"/>
        <v>----</v>
      </c>
      <c r="I25" s="771"/>
      <c r="J25" s="761" t="str">
        <f t="shared" si="5"/>
        <v>----</v>
      </c>
    </row>
    <row r="26" spans="1:11" s="434" customFormat="1">
      <c r="A26" s="123"/>
      <c r="B26" s="124"/>
      <c r="C26" s="732"/>
      <c r="D26" s="749"/>
      <c r="E26" s="770"/>
      <c r="F26" s="759" t="str">
        <f t="shared" si="4"/>
        <v>----</v>
      </c>
      <c r="G26" s="770"/>
      <c r="H26" s="759" t="str">
        <f t="shared" si="0"/>
        <v>----</v>
      </c>
      <c r="I26" s="771"/>
      <c r="J26" s="761" t="str">
        <f t="shared" si="5"/>
        <v>----</v>
      </c>
    </row>
    <row r="27" spans="1:11">
      <c r="A27" s="123"/>
      <c r="B27" s="124"/>
      <c r="C27" s="732"/>
      <c r="D27" s="749"/>
      <c r="E27" s="770"/>
      <c r="F27" s="759" t="str">
        <f t="shared" si="2"/>
        <v>----</v>
      </c>
      <c r="G27" s="770"/>
      <c r="H27" s="759" t="str">
        <f t="shared" si="0"/>
        <v>----</v>
      </c>
      <c r="I27" s="771"/>
      <c r="J27" s="761" t="str">
        <f t="shared" si="1"/>
        <v>----</v>
      </c>
    </row>
    <row r="28" spans="1:11" ht="15.75" thickBot="1">
      <c r="A28" s="74"/>
      <c r="B28" s="75"/>
      <c r="C28" s="729"/>
      <c r="D28" s="737"/>
      <c r="E28" s="747"/>
      <c r="F28" s="772" t="str">
        <f t="shared" si="2"/>
        <v>----</v>
      </c>
      <c r="G28" s="747"/>
      <c r="H28" s="772" t="str">
        <f t="shared" si="0"/>
        <v>----</v>
      </c>
      <c r="I28" s="742"/>
      <c r="J28" s="773" t="str">
        <f t="shared" si="1"/>
        <v>----</v>
      </c>
    </row>
    <row r="29" spans="1:11" ht="15.75" thickBot="1">
      <c r="A29" s="27"/>
      <c r="B29" s="27"/>
      <c r="C29" s="28"/>
      <c r="D29" s="28"/>
      <c r="E29" s="441"/>
      <c r="F29" s="443">
        <f>SUM(F4:F28)</f>
        <v>-32774.104999999967</v>
      </c>
      <c r="G29" s="441"/>
      <c r="H29" s="443">
        <f>SUM(H4:H28)</f>
        <v>3568.0499999999884</v>
      </c>
      <c r="I29" s="28"/>
      <c r="J29" s="69">
        <f>SUM(J4:J28)</f>
        <v>0</v>
      </c>
    </row>
    <row r="30" spans="1:11">
      <c r="A30" s="17"/>
      <c r="B30" s="17"/>
      <c r="C30" s="20"/>
      <c r="D30" s="20"/>
      <c r="E30" s="437"/>
      <c r="F30" s="437"/>
      <c r="G30" s="437"/>
      <c r="H30" s="437"/>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4" bestFit="1" customWidth="1"/>
    <col min="6" max="6" width="15" style="434" customWidth="1"/>
    <col min="7" max="7" width="12" style="434" bestFit="1" customWidth="1"/>
    <col min="8" max="8" width="15" style="434" customWidth="1"/>
    <col min="9" max="9" width="12" bestFit="1" customWidth="1"/>
    <col min="10" max="10" width="15" customWidth="1"/>
  </cols>
  <sheetData>
    <row r="1" spans="1:10" ht="15.75" thickBot="1">
      <c r="A1" s="958" t="s">
        <v>180</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43852</v>
      </c>
      <c r="B4" s="71" t="s">
        <v>201</v>
      </c>
      <c r="C4" s="72">
        <v>501799.95</v>
      </c>
      <c r="D4" s="431">
        <f>C4</f>
        <v>501799.95</v>
      </c>
      <c r="E4" s="471">
        <v>498472.85</v>
      </c>
      <c r="F4" s="472">
        <f>IF(ISBLANK(E4),"----",E4-$D4)</f>
        <v>-3327.1000000000349</v>
      </c>
      <c r="G4" s="471" t="s">
        <v>703</v>
      </c>
      <c r="H4" s="472" t="str">
        <f t="shared" ref="H4:H24" si="0">IF(OR(G4="Complete",ISBLANK(G4)),"----",G4-$D4)</f>
        <v>----</v>
      </c>
      <c r="I4" s="481" t="s">
        <v>703</v>
      </c>
      <c r="J4" s="73" t="str">
        <f t="shared" ref="J4:J24" si="1">IF(OR(I4="Complete",ISBLANK(I4)),"----",I4-$D4)</f>
        <v>----</v>
      </c>
    </row>
    <row r="5" spans="1:10">
      <c r="A5" s="88">
        <v>44216</v>
      </c>
      <c r="B5" s="101" t="s">
        <v>373</v>
      </c>
      <c r="C5" s="82">
        <v>1107321.05</v>
      </c>
      <c r="D5" s="433">
        <f>C5</f>
        <v>1107321.05</v>
      </c>
      <c r="E5" s="473">
        <v>1137680.49</v>
      </c>
      <c r="F5" s="474">
        <f t="shared" ref="F5:F24" si="2">IF(ISBLANK(E5),"----",E5-$D5)</f>
        <v>30359.439999999944</v>
      </c>
      <c r="G5" s="473" t="s">
        <v>703</v>
      </c>
      <c r="H5" s="474" t="str">
        <f t="shared" si="0"/>
        <v>----</v>
      </c>
      <c r="I5" s="486" t="s">
        <v>703</v>
      </c>
      <c r="J5" s="83" t="str">
        <f t="shared" si="1"/>
        <v>----</v>
      </c>
    </row>
    <row r="6" spans="1:10">
      <c r="A6" s="102">
        <v>45125</v>
      </c>
      <c r="B6" s="103" t="s">
        <v>655</v>
      </c>
      <c r="C6" s="87">
        <v>1699701.65</v>
      </c>
      <c r="D6" s="468">
        <f>C6</f>
        <v>1699701.65</v>
      </c>
      <c r="E6" s="475"/>
      <c r="F6" s="474" t="str">
        <f t="shared" si="2"/>
        <v>----</v>
      </c>
      <c r="G6" s="475"/>
      <c r="H6" s="474" t="str">
        <f t="shared" si="0"/>
        <v>----</v>
      </c>
      <c r="I6" s="488"/>
      <c r="J6" s="83" t="str">
        <f t="shared" si="1"/>
        <v>----</v>
      </c>
    </row>
    <row r="7" spans="1:10">
      <c r="A7" s="102"/>
      <c r="B7" s="103"/>
      <c r="C7" s="87"/>
      <c r="D7" s="468"/>
      <c r="E7" s="475"/>
      <c r="F7" s="474" t="str">
        <f t="shared" si="2"/>
        <v>----</v>
      </c>
      <c r="G7" s="475"/>
      <c r="H7" s="474" t="str">
        <f t="shared" si="0"/>
        <v>----</v>
      </c>
      <c r="I7" s="488"/>
      <c r="J7" s="83" t="str">
        <f t="shared" si="1"/>
        <v>----</v>
      </c>
    </row>
    <row r="8" spans="1:10">
      <c r="A8" s="102"/>
      <c r="B8" s="103"/>
      <c r="C8" s="87"/>
      <c r="D8" s="468"/>
      <c r="E8" s="475"/>
      <c r="F8" s="474" t="str">
        <f t="shared" si="2"/>
        <v>----</v>
      </c>
      <c r="G8" s="475"/>
      <c r="H8" s="474" t="str">
        <f t="shared" si="0"/>
        <v>----</v>
      </c>
      <c r="I8" s="488"/>
      <c r="J8" s="83" t="str">
        <f t="shared" si="1"/>
        <v>----</v>
      </c>
    </row>
    <row r="9" spans="1:10">
      <c r="A9" s="102"/>
      <c r="B9" s="103"/>
      <c r="C9" s="87"/>
      <c r="D9" s="468"/>
      <c r="E9" s="475"/>
      <c r="F9" s="474" t="str">
        <f t="shared" si="2"/>
        <v>----</v>
      </c>
      <c r="G9" s="475"/>
      <c r="H9" s="474" t="str">
        <f t="shared" si="0"/>
        <v>----</v>
      </c>
      <c r="I9" s="488"/>
      <c r="J9" s="83" t="str">
        <f t="shared" si="1"/>
        <v>----</v>
      </c>
    </row>
    <row r="10" spans="1:10">
      <c r="A10" s="102"/>
      <c r="B10" s="103"/>
      <c r="C10" s="87"/>
      <c r="D10" s="468"/>
      <c r="E10" s="475"/>
      <c r="F10" s="474" t="str">
        <f t="shared" si="2"/>
        <v>----</v>
      </c>
      <c r="G10" s="475"/>
      <c r="H10" s="474" t="str">
        <f t="shared" si="0"/>
        <v>----</v>
      </c>
      <c r="I10" s="488"/>
      <c r="J10" s="83" t="str">
        <f t="shared" si="1"/>
        <v>----</v>
      </c>
    </row>
    <row r="11" spans="1:10">
      <c r="A11" s="102"/>
      <c r="B11" s="103"/>
      <c r="C11" s="87"/>
      <c r="D11" s="468"/>
      <c r="E11" s="475"/>
      <c r="F11" s="474" t="str">
        <f t="shared" si="2"/>
        <v>----</v>
      </c>
      <c r="G11" s="475"/>
      <c r="H11" s="474" t="str">
        <f t="shared" si="0"/>
        <v>----</v>
      </c>
      <c r="I11" s="488"/>
      <c r="J11" s="83" t="str">
        <f t="shared" si="1"/>
        <v>----</v>
      </c>
    </row>
    <row r="12" spans="1:10">
      <c r="A12" s="102"/>
      <c r="B12" s="103"/>
      <c r="C12" s="87"/>
      <c r="D12" s="468"/>
      <c r="E12" s="475"/>
      <c r="F12" s="474" t="str">
        <f t="shared" si="2"/>
        <v>----</v>
      </c>
      <c r="G12" s="475"/>
      <c r="H12" s="474" t="str">
        <f t="shared" si="0"/>
        <v>----</v>
      </c>
      <c r="I12" s="488"/>
      <c r="J12" s="83" t="str">
        <f t="shared" si="1"/>
        <v>----</v>
      </c>
    </row>
    <row r="13" spans="1:10">
      <c r="A13" s="102"/>
      <c r="B13" s="103"/>
      <c r="C13" s="87"/>
      <c r="D13" s="468"/>
      <c r="E13" s="475"/>
      <c r="F13" s="474" t="str">
        <f t="shared" si="2"/>
        <v>----</v>
      </c>
      <c r="G13" s="475"/>
      <c r="H13" s="474" t="str">
        <f t="shared" si="0"/>
        <v>----</v>
      </c>
      <c r="I13" s="488"/>
      <c r="J13" s="83" t="str">
        <f t="shared" si="1"/>
        <v>----</v>
      </c>
    </row>
    <row r="14" spans="1:10">
      <c r="A14" s="102"/>
      <c r="B14" s="103"/>
      <c r="C14" s="87"/>
      <c r="D14" s="468"/>
      <c r="E14" s="475"/>
      <c r="F14" s="474" t="str">
        <f t="shared" si="2"/>
        <v>----</v>
      </c>
      <c r="G14" s="475"/>
      <c r="H14" s="474" t="str">
        <f t="shared" si="0"/>
        <v>----</v>
      </c>
      <c r="I14" s="488"/>
      <c r="J14" s="83" t="str">
        <f t="shared" si="1"/>
        <v>----</v>
      </c>
    </row>
    <row r="15" spans="1:10">
      <c r="A15" s="102"/>
      <c r="B15" s="103"/>
      <c r="C15" s="87"/>
      <c r="D15" s="468"/>
      <c r="E15" s="475"/>
      <c r="F15" s="474" t="str">
        <f t="shared" si="2"/>
        <v>----</v>
      </c>
      <c r="G15" s="475"/>
      <c r="H15" s="474" t="str">
        <f t="shared" si="0"/>
        <v>----</v>
      </c>
      <c r="I15" s="488"/>
      <c r="J15" s="83" t="str">
        <f t="shared" si="1"/>
        <v>----</v>
      </c>
    </row>
    <row r="16" spans="1:10">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02"/>
      <c r="B19" s="103"/>
      <c r="C19" s="87"/>
      <c r="D19" s="468"/>
      <c r="E19" s="475"/>
      <c r="F19" s="474" t="str">
        <f t="shared" si="2"/>
        <v>----</v>
      </c>
      <c r="G19" s="475"/>
      <c r="H19" s="474" t="str">
        <f t="shared" si="0"/>
        <v>----</v>
      </c>
      <c r="I19" s="488"/>
      <c r="J19" s="83" t="str">
        <f t="shared" si="1"/>
        <v>----</v>
      </c>
    </row>
    <row r="20" spans="1:10">
      <c r="A20" s="102"/>
      <c r="B20" s="103"/>
      <c r="C20" s="87"/>
      <c r="D20" s="468"/>
      <c r="E20" s="475"/>
      <c r="F20" s="474" t="str">
        <f t="shared" si="2"/>
        <v>----</v>
      </c>
      <c r="G20" s="475"/>
      <c r="H20" s="474" t="str">
        <f t="shared" si="0"/>
        <v>----</v>
      </c>
      <c r="I20" s="488"/>
      <c r="J20" s="83" t="str">
        <f t="shared" si="1"/>
        <v>----</v>
      </c>
    </row>
    <row r="21" spans="1:10">
      <c r="A21" s="102"/>
      <c r="B21" s="103"/>
      <c r="C21" s="87"/>
      <c r="D21" s="468"/>
      <c r="E21" s="475"/>
      <c r="F21" s="474" t="str">
        <f t="shared" si="2"/>
        <v>----</v>
      </c>
      <c r="G21" s="475"/>
      <c r="H21" s="474" t="str">
        <f t="shared" si="0"/>
        <v>----</v>
      </c>
      <c r="I21" s="488"/>
      <c r="J21" s="83" t="str">
        <f t="shared" si="1"/>
        <v>----</v>
      </c>
    </row>
    <row r="22" spans="1:10">
      <c r="A22" s="102"/>
      <c r="B22" s="103"/>
      <c r="C22" s="87"/>
      <c r="D22" s="468"/>
      <c r="E22" s="475"/>
      <c r="F22" s="474" t="str">
        <f t="shared" si="2"/>
        <v>----</v>
      </c>
      <c r="G22" s="475"/>
      <c r="H22" s="474" t="str">
        <f t="shared" si="0"/>
        <v>----</v>
      </c>
      <c r="I22" s="488"/>
      <c r="J22" s="83" t="str">
        <f t="shared" si="1"/>
        <v>----</v>
      </c>
    </row>
    <row r="23" spans="1:10">
      <c r="A23" s="116"/>
      <c r="B23" s="117"/>
      <c r="C23" s="118"/>
      <c r="D23" s="469"/>
      <c r="E23" s="476"/>
      <c r="F23" s="474" t="str">
        <f t="shared" si="2"/>
        <v>----</v>
      </c>
      <c r="G23" s="476"/>
      <c r="H23" s="474" t="str">
        <f t="shared" si="0"/>
        <v>----</v>
      </c>
      <c r="I23" s="490"/>
      <c r="J23" s="83" t="str">
        <f t="shared" si="1"/>
        <v>----</v>
      </c>
    </row>
    <row r="24" spans="1:10" ht="15.75" thickBot="1">
      <c r="A24" s="74"/>
      <c r="B24" s="75"/>
      <c r="C24" s="76"/>
      <c r="D24" s="432"/>
      <c r="E24" s="477"/>
      <c r="F24" s="478" t="str">
        <f t="shared" si="2"/>
        <v>----</v>
      </c>
      <c r="G24" s="477"/>
      <c r="H24" s="478" t="str">
        <f t="shared" si="0"/>
        <v>----</v>
      </c>
      <c r="I24" s="483"/>
      <c r="J24" s="77" t="str">
        <f t="shared" si="1"/>
        <v>----</v>
      </c>
    </row>
    <row r="25" spans="1:10" ht="15.75" thickBot="1">
      <c r="A25" s="27"/>
      <c r="B25" s="27"/>
      <c r="C25" s="28"/>
      <c r="D25" s="28"/>
      <c r="E25" s="441"/>
      <c r="F25" s="443">
        <f>SUM(F4:F24)</f>
        <v>27032.339999999909</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4" bestFit="1" customWidth="1"/>
    <col min="6" max="6" width="10.85546875" style="434" customWidth="1"/>
    <col min="7" max="7" width="9.5703125" style="434" bestFit="1" customWidth="1"/>
    <col min="8" max="8" width="10.85546875" style="434" customWidth="1"/>
    <col min="9" max="9" width="9.5703125" bestFit="1" customWidth="1"/>
    <col min="10" max="10" width="10.85546875" customWidth="1"/>
  </cols>
  <sheetData>
    <row r="1" spans="1:11" ht="15.75" thickBot="1">
      <c r="A1" s="958" t="s">
        <v>230</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43942</v>
      </c>
      <c r="B4" s="71" t="s">
        <v>292</v>
      </c>
      <c r="C4" s="72">
        <v>233893.7</v>
      </c>
      <c r="D4" s="532">
        <f>C4</f>
        <v>233893.7</v>
      </c>
      <c r="E4" s="542">
        <v>237080.75</v>
      </c>
      <c r="F4" s="472">
        <f>IF(ISBLANK(E4),"----",E4-$D4)</f>
        <v>3187.0499999999884</v>
      </c>
      <c r="G4" s="542" t="s">
        <v>703</v>
      </c>
      <c r="H4" s="472" t="str">
        <f t="shared" ref="H4:H25" si="0">IF(OR(G4="Complete",ISBLANK(G4)),"----",G4-$D4)</f>
        <v>----</v>
      </c>
      <c r="I4" s="537" t="s">
        <v>703</v>
      </c>
      <c r="J4" s="73" t="str">
        <f t="shared" ref="J4:J25" si="1">IF(OR(I4="Complete",ISBLANK(I4)),"----",I4-$D4)</f>
        <v>----</v>
      </c>
    </row>
    <row r="5" spans="1:11">
      <c r="A5" s="88">
        <v>43998</v>
      </c>
      <c r="B5" s="101" t="s">
        <v>293</v>
      </c>
      <c r="C5" s="82">
        <v>150524.9</v>
      </c>
      <c r="D5" s="533">
        <f>C5</f>
        <v>150524.9</v>
      </c>
      <c r="E5" s="543">
        <v>152134.9</v>
      </c>
      <c r="F5" s="474">
        <f t="shared" ref="F5:F25" si="2">IF(ISBLANK(E5),"----",E5-$D5)</f>
        <v>1610</v>
      </c>
      <c r="G5" s="543" t="s">
        <v>703</v>
      </c>
      <c r="H5" s="474" t="str">
        <f t="shared" si="0"/>
        <v>----</v>
      </c>
      <c r="I5" s="538" t="s">
        <v>703</v>
      </c>
      <c r="J5" s="83" t="str">
        <f t="shared" si="1"/>
        <v>----</v>
      </c>
    </row>
    <row r="6" spans="1:11">
      <c r="A6" s="102">
        <v>44153</v>
      </c>
      <c r="B6" s="103" t="s">
        <v>330</v>
      </c>
      <c r="C6" s="87">
        <v>698479.37</v>
      </c>
      <c r="D6" s="534">
        <v>343449.37</v>
      </c>
      <c r="E6" s="544">
        <v>343235.76</v>
      </c>
      <c r="F6" s="474">
        <f t="shared" si="2"/>
        <v>-213.60999999998603</v>
      </c>
      <c r="G6" s="544" t="s">
        <v>703</v>
      </c>
      <c r="H6" s="474" t="str">
        <f t="shared" si="0"/>
        <v>----</v>
      </c>
      <c r="I6" s="539" t="s">
        <v>703</v>
      </c>
      <c r="J6" s="83" t="str">
        <f t="shared" si="1"/>
        <v>----</v>
      </c>
    </row>
    <row r="7" spans="1:11">
      <c r="A7" s="102">
        <v>44362</v>
      </c>
      <c r="B7" s="103" t="s">
        <v>431</v>
      </c>
      <c r="C7" s="87">
        <v>488462</v>
      </c>
      <c r="D7" s="534">
        <f>C7</f>
        <v>488462</v>
      </c>
      <c r="E7" s="544">
        <v>487394.23</v>
      </c>
      <c r="F7" s="474">
        <f t="shared" si="2"/>
        <v>-1067.7700000000186</v>
      </c>
      <c r="G7" s="544" t="s">
        <v>703</v>
      </c>
      <c r="H7" s="474" t="str">
        <f t="shared" si="0"/>
        <v>----</v>
      </c>
      <c r="I7" s="539" t="s">
        <v>703</v>
      </c>
      <c r="J7" s="83" t="str">
        <f t="shared" si="1"/>
        <v>----</v>
      </c>
    </row>
    <row r="8" spans="1:11">
      <c r="A8" s="102">
        <v>44915</v>
      </c>
      <c r="B8" s="103" t="s">
        <v>608</v>
      </c>
      <c r="C8" s="87">
        <v>264878</v>
      </c>
      <c r="D8" s="534">
        <v>264878</v>
      </c>
      <c r="E8" s="544"/>
      <c r="F8" s="474" t="str">
        <f t="shared" si="2"/>
        <v>----</v>
      </c>
      <c r="G8" s="544">
        <v>258983.85</v>
      </c>
      <c r="H8" s="474">
        <f t="shared" si="0"/>
        <v>-5894.1499999999942</v>
      </c>
      <c r="I8" s="539" t="s">
        <v>703</v>
      </c>
      <c r="J8" s="83" t="str">
        <f t="shared" si="1"/>
        <v>----</v>
      </c>
    </row>
    <row r="9" spans="1:11">
      <c r="A9" s="102">
        <v>44915</v>
      </c>
      <c r="B9" s="103" t="s">
        <v>609</v>
      </c>
      <c r="C9" s="87">
        <v>181068</v>
      </c>
      <c r="D9" s="534">
        <v>181068</v>
      </c>
      <c r="E9" s="544"/>
      <c r="F9" s="474" t="str">
        <f t="shared" si="2"/>
        <v>----</v>
      </c>
      <c r="G9" s="544">
        <v>180121.60000000001</v>
      </c>
      <c r="H9" s="474">
        <f t="shared" si="0"/>
        <v>-946.39999999999418</v>
      </c>
      <c r="I9" s="539" t="s">
        <v>703</v>
      </c>
      <c r="J9" s="83" t="str">
        <f t="shared" si="1"/>
        <v>----</v>
      </c>
    </row>
    <row r="10" spans="1:11">
      <c r="A10" s="102">
        <v>44915</v>
      </c>
      <c r="B10" s="103" t="s">
        <v>610</v>
      </c>
      <c r="C10" s="87">
        <v>156721.9</v>
      </c>
      <c r="D10" s="534">
        <f>31344.38+125377.52</f>
        <v>156721.9</v>
      </c>
      <c r="E10" s="544"/>
      <c r="F10" s="474" t="str">
        <f t="shared" si="2"/>
        <v>----</v>
      </c>
      <c r="G10" s="544">
        <v>154528.10999999999</v>
      </c>
      <c r="H10" s="474">
        <f t="shared" si="0"/>
        <v>-2193.7900000000081</v>
      </c>
      <c r="I10" s="539" t="s">
        <v>703</v>
      </c>
      <c r="J10" s="83" t="str">
        <f t="shared" si="1"/>
        <v>----</v>
      </c>
    </row>
    <row r="11" spans="1:11">
      <c r="A11" s="102">
        <v>44915</v>
      </c>
      <c r="B11" s="103" t="s">
        <v>611</v>
      </c>
      <c r="C11" s="87">
        <v>170342</v>
      </c>
      <c r="D11" s="534">
        <f>34068.4+136273.6</f>
        <v>170342</v>
      </c>
      <c r="E11" s="544"/>
      <c r="F11" s="474" t="str">
        <f t="shared" si="2"/>
        <v>----</v>
      </c>
      <c r="G11" s="544">
        <v>177436.6</v>
      </c>
      <c r="H11" s="474">
        <f t="shared" si="0"/>
        <v>7094.6000000000058</v>
      </c>
      <c r="I11" s="539" t="s">
        <v>703</v>
      </c>
      <c r="J11" s="83" t="str">
        <f t="shared" si="1"/>
        <v>----</v>
      </c>
    </row>
    <row r="12" spans="1:11">
      <c r="A12" s="102">
        <v>44915</v>
      </c>
      <c r="B12" s="103" t="s">
        <v>612</v>
      </c>
      <c r="C12" s="87">
        <v>370578</v>
      </c>
      <c r="D12" s="534">
        <f>74115.6+296462.4</f>
        <v>370578</v>
      </c>
      <c r="E12" s="544"/>
      <c r="F12" s="474" t="str">
        <f t="shared" si="2"/>
        <v>----</v>
      </c>
      <c r="G12" s="544">
        <v>367492.5</v>
      </c>
      <c r="H12" s="474">
        <f t="shared" si="0"/>
        <v>-3085.5</v>
      </c>
      <c r="I12" s="539" t="s">
        <v>703</v>
      </c>
      <c r="J12" s="83" t="str">
        <f t="shared" si="1"/>
        <v>----</v>
      </c>
      <c r="K12" t="s">
        <v>759</v>
      </c>
    </row>
    <row r="13" spans="1:11">
      <c r="A13" s="102">
        <v>44915</v>
      </c>
      <c r="B13" s="103" t="s">
        <v>613</v>
      </c>
      <c r="C13" s="87">
        <v>268230.84999999998</v>
      </c>
      <c r="D13" s="534">
        <f>C13</f>
        <v>268230.84999999998</v>
      </c>
      <c r="E13" s="544"/>
      <c r="F13" s="474" t="str">
        <f t="shared" si="2"/>
        <v>----</v>
      </c>
      <c r="G13" s="544">
        <v>271070.62</v>
      </c>
      <c r="H13" s="474">
        <f t="shared" si="0"/>
        <v>2839.7700000000186</v>
      </c>
      <c r="I13" s="539"/>
      <c r="J13" s="83" t="str">
        <f t="shared" si="1"/>
        <v>----</v>
      </c>
    </row>
    <row r="14" spans="1:11">
      <c r="A14" s="102"/>
      <c r="B14" s="103"/>
      <c r="C14" s="87"/>
      <c r="D14" s="534"/>
      <c r="E14" s="544"/>
      <c r="F14" s="474" t="str">
        <f t="shared" si="2"/>
        <v>----</v>
      </c>
      <c r="G14" s="544"/>
      <c r="H14" s="474" t="str">
        <f t="shared" si="0"/>
        <v>----</v>
      </c>
      <c r="I14" s="539"/>
      <c r="J14" s="83" t="str">
        <f t="shared" si="1"/>
        <v>----</v>
      </c>
    </row>
    <row r="15" spans="1:11">
      <c r="A15" s="102"/>
      <c r="B15" s="103"/>
      <c r="C15" s="87"/>
      <c r="D15" s="534"/>
      <c r="E15" s="544"/>
      <c r="F15" s="474" t="str">
        <f t="shared" si="2"/>
        <v>----</v>
      </c>
      <c r="G15" s="544"/>
      <c r="H15" s="474" t="str">
        <f t="shared" si="0"/>
        <v>----</v>
      </c>
      <c r="I15" s="539"/>
      <c r="J15" s="83" t="str">
        <f t="shared" si="1"/>
        <v>----</v>
      </c>
    </row>
    <row r="16" spans="1:11">
      <c r="A16" s="102"/>
      <c r="B16" s="103"/>
      <c r="C16" s="87"/>
      <c r="D16" s="534"/>
      <c r="E16" s="544"/>
      <c r="F16" s="474" t="str">
        <f t="shared" si="2"/>
        <v>----</v>
      </c>
      <c r="G16" s="544"/>
      <c r="H16" s="474" t="str">
        <f t="shared" si="0"/>
        <v>----</v>
      </c>
      <c r="I16" s="539"/>
      <c r="J16" s="83" t="str">
        <f t="shared" si="1"/>
        <v>----</v>
      </c>
    </row>
    <row r="17" spans="1:10">
      <c r="A17" s="102"/>
      <c r="B17" s="103"/>
      <c r="C17" s="87"/>
      <c r="D17" s="534"/>
      <c r="E17" s="544"/>
      <c r="F17" s="474" t="str">
        <f t="shared" si="2"/>
        <v>----</v>
      </c>
      <c r="G17" s="544"/>
      <c r="H17" s="474" t="str">
        <f t="shared" si="0"/>
        <v>----</v>
      </c>
      <c r="I17" s="539"/>
      <c r="J17" s="83" t="str">
        <f t="shared" si="1"/>
        <v>----</v>
      </c>
    </row>
    <row r="18" spans="1:10">
      <c r="A18" s="102"/>
      <c r="B18" s="103"/>
      <c r="C18" s="87"/>
      <c r="D18" s="534"/>
      <c r="E18" s="544"/>
      <c r="F18" s="474" t="str">
        <f t="shared" si="2"/>
        <v>----</v>
      </c>
      <c r="G18" s="544"/>
      <c r="H18" s="474" t="str">
        <f t="shared" si="0"/>
        <v>----</v>
      </c>
      <c r="I18" s="539"/>
      <c r="J18" s="83" t="str">
        <f t="shared" si="1"/>
        <v>----</v>
      </c>
    </row>
    <row r="19" spans="1:10">
      <c r="A19" s="102"/>
      <c r="B19" s="103"/>
      <c r="C19" s="87"/>
      <c r="D19" s="534"/>
      <c r="E19" s="544"/>
      <c r="F19" s="474" t="str">
        <f t="shared" si="2"/>
        <v>----</v>
      </c>
      <c r="G19" s="544"/>
      <c r="H19" s="474" t="str">
        <f t="shared" si="0"/>
        <v>----</v>
      </c>
      <c r="I19" s="539"/>
      <c r="J19" s="83" t="str">
        <f t="shared" si="1"/>
        <v>----</v>
      </c>
    </row>
    <row r="20" spans="1:10">
      <c r="A20" s="102"/>
      <c r="B20" s="103"/>
      <c r="C20" s="87"/>
      <c r="D20" s="534"/>
      <c r="E20" s="544"/>
      <c r="F20" s="474" t="str">
        <f t="shared" si="2"/>
        <v>----</v>
      </c>
      <c r="G20" s="544"/>
      <c r="H20" s="474" t="str">
        <f t="shared" si="0"/>
        <v>----</v>
      </c>
      <c r="I20" s="539"/>
      <c r="J20" s="83" t="str">
        <f t="shared" si="1"/>
        <v>----</v>
      </c>
    </row>
    <row r="21" spans="1:10">
      <c r="A21" s="102"/>
      <c r="B21" s="103"/>
      <c r="C21" s="87"/>
      <c r="D21" s="534"/>
      <c r="E21" s="544"/>
      <c r="F21" s="474" t="str">
        <f t="shared" si="2"/>
        <v>----</v>
      </c>
      <c r="G21" s="544"/>
      <c r="H21" s="474" t="str">
        <f t="shared" si="0"/>
        <v>----</v>
      </c>
      <c r="I21" s="539"/>
      <c r="J21" s="83" t="str">
        <f t="shared" si="1"/>
        <v>----</v>
      </c>
    </row>
    <row r="22" spans="1:10">
      <c r="A22" s="102"/>
      <c r="B22" s="103"/>
      <c r="C22" s="87"/>
      <c r="D22" s="534"/>
      <c r="E22" s="544"/>
      <c r="F22" s="474" t="str">
        <f t="shared" si="2"/>
        <v>----</v>
      </c>
      <c r="G22" s="544"/>
      <c r="H22" s="474" t="str">
        <f t="shared" si="0"/>
        <v>----</v>
      </c>
      <c r="I22" s="539"/>
      <c r="J22" s="83" t="str">
        <f t="shared" si="1"/>
        <v>----</v>
      </c>
    </row>
    <row r="23" spans="1:10">
      <c r="A23" s="102"/>
      <c r="B23" s="103"/>
      <c r="C23" s="87"/>
      <c r="D23" s="534"/>
      <c r="E23" s="544"/>
      <c r="F23" s="474" t="str">
        <f t="shared" si="2"/>
        <v>----</v>
      </c>
      <c r="G23" s="544"/>
      <c r="H23" s="474" t="str">
        <f t="shared" si="0"/>
        <v>----</v>
      </c>
      <c r="I23" s="539"/>
      <c r="J23" s="83" t="str">
        <f t="shared" si="1"/>
        <v>----</v>
      </c>
    </row>
    <row r="24" spans="1:10">
      <c r="A24" s="116"/>
      <c r="B24" s="117"/>
      <c r="C24" s="118"/>
      <c r="D24" s="535"/>
      <c r="E24" s="545"/>
      <c r="F24" s="474" t="str">
        <f t="shared" si="2"/>
        <v>----</v>
      </c>
      <c r="G24" s="545"/>
      <c r="H24" s="474" t="str">
        <f t="shared" si="0"/>
        <v>----</v>
      </c>
      <c r="I24" s="540"/>
      <c r="J24" s="83" t="str">
        <f t="shared" si="1"/>
        <v>----</v>
      </c>
    </row>
    <row r="25" spans="1:10" ht="15.75" thickBot="1">
      <c r="A25" s="74"/>
      <c r="B25" s="75"/>
      <c r="C25" s="76"/>
      <c r="D25" s="536"/>
      <c r="E25" s="546"/>
      <c r="F25" s="478" t="str">
        <f t="shared" si="2"/>
        <v>----</v>
      </c>
      <c r="G25" s="546"/>
      <c r="H25" s="478" t="str">
        <f t="shared" si="0"/>
        <v>----</v>
      </c>
      <c r="I25" s="541"/>
      <c r="J25" s="77" t="str">
        <f t="shared" si="1"/>
        <v>----</v>
      </c>
    </row>
    <row r="26" spans="1:10" ht="15.75" thickBot="1">
      <c r="A26" s="27"/>
      <c r="B26" s="27"/>
      <c r="C26" s="28"/>
      <c r="D26" s="28"/>
      <c r="E26" s="441"/>
      <c r="F26" s="443">
        <f>SUM(F4:F25)</f>
        <v>3515.6699999999837</v>
      </c>
      <c r="G26" s="441"/>
      <c r="H26" s="443">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L23"/>
  <sheetViews>
    <sheetView workbookViewId="0">
      <selection activeCell="C6" sqref="C6"/>
    </sheetView>
  </sheetViews>
  <sheetFormatPr defaultRowHeight="15"/>
  <cols>
    <col min="2" max="2" width="22.5703125" bestFit="1" customWidth="1"/>
    <col min="3" max="3" width="12" bestFit="1" customWidth="1"/>
    <col min="4" max="4" width="12.5703125" customWidth="1"/>
    <col min="5" max="8" width="9.140625" style="434"/>
    <col min="9" max="9" width="9.5703125" bestFit="1" customWidth="1"/>
    <col min="10" max="10" width="10.7109375" bestFit="1" customWidth="1"/>
    <col min="12" max="12" width="11.140625" bestFit="1" customWidth="1"/>
  </cols>
  <sheetData>
    <row r="1" spans="1:12" ht="15.75" thickBot="1">
      <c r="A1" s="958" t="s">
        <v>260</v>
      </c>
      <c r="B1" s="959"/>
      <c r="C1" s="959"/>
      <c r="D1" s="959"/>
      <c r="E1" s="959"/>
      <c r="F1" s="959"/>
      <c r="G1" s="959"/>
      <c r="H1" s="959"/>
      <c r="I1" s="959"/>
      <c r="J1" s="960"/>
    </row>
    <row r="2" spans="1:12" s="434" customFormat="1">
      <c r="A2" s="965" t="s">
        <v>110</v>
      </c>
      <c r="B2" s="967" t="s">
        <v>111</v>
      </c>
      <c r="C2" s="967" t="s">
        <v>112</v>
      </c>
      <c r="D2" s="969" t="s">
        <v>120</v>
      </c>
      <c r="E2" s="963" t="s">
        <v>701</v>
      </c>
      <c r="F2" s="964"/>
      <c r="G2" s="963" t="s">
        <v>702</v>
      </c>
      <c r="H2" s="964"/>
      <c r="I2" s="938" t="s">
        <v>796</v>
      </c>
      <c r="J2" s="939"/>
    </row>
    <row r="3" spans="1:12" ht="69" thickBot="1">
      <c r="A3" s="966"/>
      <c r="B3" s="968"/>
      <c r="C3" s="968"/>
      <c r="D3" s="970"/>
      <c r="E3" s="462" t="s">
        <v>121</v>
      </c>
      <c r="F3" s="470" t="s">
        <v>704</v>
      </c>
      <c r="G3" s="462" t="s">
        <v>121</v>
      </c>
      <c r="H3" s="470" t="s">
        <v>704</v>
      </c>
      <c r="I3" s="480" t="s">
        <v>121</v>
      </c>
      <c r="J3" s="25" t="s">
        <v>704</v>
      </c>
    </row>
    <row r="4" spans="1:12">
      <c r="A4" s="70">
        <v>44124</v>
      </c>
      <c r="B4" s="71" t="s">
        <v>312</v>
      </c>
      <c r="C4" s="72">
        <v>1245346.1399999999</v>
      </c>
      <c r="D4" s="431">
        <v>835696.13</v>
      </c>
      <c r="E4" s="471"/>
      <c r="F4" s="472" t="str">
        <f>IF(ISBLANK(E4),"----",E4-$D4)</f>
        <v>----</v>
      </c>
      <c r="G4" s="471"/>
      <c r="H4" s="472" t="str">
        <f>IF(OR(G4="Complete",ISBLANK(G4)),"----",G4-$D4)</f>
        <v>----</v>
      </c>
      <c r="I4" s="797">
        <f>1383409.18-L4</f>
        <v>973759.17999999993</v>
      </c>
      <c r="J4" s="73">
        <f>IF(OR(I4="Complete",ISBLANK(I4)),"----",I4-$D4)</f>
        <v>138063.04999999993</v>
      </c>
      <c r="K4" t="s">
        <v>422</v>
      </c>
      <c r="L4" s="725">
        <v>409650</v>
      </c>
    </row>
    <row r="5" spans="1:12">
      <c r="A5" s="88">
        <v>45489</v>
      </c>
      <c r="B5" s="450" t="s">
        <v>763</v>
      </c>
      <c r="C5" s="376">
        <v>1862765.5</v>
      </c>
      <c r="D5" s="566">
        <f>C5</f>
        <v>1862765.5</v>
      </c>
      <c r="E5" s="473"/>
      <c r="F5" s="474" t="str">
        <f t="shared" ref="F5:F22" si="0">IF(ISBLANK(E5),"----",E5-$D5)</f>
        <v>----</v>
      </c>
      <c r="G5" s="473"/>
      <c r="H5" s="474" t="str">
        <f>IF(OR(G5="Complete",ISBLANK(G5)),"----",G5-$D5)</f>
        <v>----</v>
      </c>
      <c r="I5" s="486"/>
      <c r="J5" s="83" t="str">
        <f>IF(OR(I5="Complete",ISBLANK(I5)),"----",I5-$D5)</f>
        <v>----</v>
      </c>
    </row>
    <row r="6" spans="1:12" s="434" customFormat="1">
      <c r="A6" s="451"/>
      <c r="B6" s="452"/>
      <c r="C6" s="448"/>
      <c r="D6" s="468"/>
      <c r="E6" s="475"/>
      <c r="F6" s="487" t="str">
        <f t="shared" ref="F6:F20" si="1">IF(ISBLANK(E6),"----",E6-$D6)</f>
        <v>----</v>
      </c>
      <c r="G6" s="475"/>
      <c r="H6" s="487" t="str">
        <f t="shared" ref="H6:H20" si="2">IF(OR(G6="Complete",ISBLANK(G6)),"----",G6-$D6)</f>
        <v>----</v>
      </c>
      <c r="I6" s="488"/>
      <c r="J6" s="453" t="str">
        <f t="shared" ref="J6:J20" si="3">IF(OR(I6="Complete",ISBLANK(I6)),"----",I6-$D6)</f>
        <v>----</v>
      </c>
    </row>
    <row r="7" spans="1:12" s="434" customFormat="1">
      <c r="A7" s="451"/>
      <c r="B7" s="452"/>
      <c r="C7" s="448"/>
      <c r="D7" s="468"/>
      <c r="E7" s="475"/>
      <c r="F7" s="487" t="str">
        <f t="shared" si="1"/>
        <v>----</v>
      </c>
      <c r="G7" s="475"/>
      <c r="H7" s="487" t="str">
        <f t="shared" si="2"/>
        <v>----</v>
      </c>
      <c r="I7" s="488"/>
      <c r="J7" s="453" t="str">
        <f t="shared" si="3"/>
        <v>----</v>
      </c>
    </row>
    <row r="8" spans="1:12" s="434" customFormat="1">
      <c r="A8" s="451"/>
      <c r="B8" s="452"/>
      <c r="C8" s="448"/>
      <c r="D8" s="468"/>
      <c r="E8" s="475"/>
      <c r="F8" s="487" t="str">
        <f t="shared" si="1"/>
        <v>----</v>
      </c>
      <c r="G8" s="475"/>
      <c r="H8" s="487" t="str">
        <f t="shared" si="2"/>
        <v>----</v>
      </c>
      <c r="I8" s="488"/>
      <c r="J8" s="453" t="str">
        <f t="shared" si="3"/>
        <v>----</v>
      </c>
    </row>
    <row r="9" spans="1:12" s="434" customFormat="1">
      <c r="A9" s="451"/>
      <c r="B9" s="452"/>
      <c r="C9" s="448"/>
      <c r="D9" s="468"/>
      <c r="E9" s="475"/>
      <c r="F9" s="487" t="str">
        <f t="shared" si="1"/>
        <v>----</v>
      </c>
      <c r="G9" s="475"/>
      <c r="H9" s="487" t="str">
        <f t="shared" si="2"/>
        <v>----</v>
      </c>
      <c r="I9" s="488"/>
      <c r="J9" s="453" t="str">
        <f t="shared" si="3"/>
        <v>----</v>
      </c>
    </row>
    <row r="10" spans="1:12" s="434" customFormat="1">
      <c r="A10" s="451"/>
      <c r="B10" s="452"/>
      <c r="C10" s="448"/>
      <c r="D10" s="468"/>
      <c r="E10" s="475"/>
      <c r="F10" s="487" t="str">
        <f t="shared" si="1"/>
        <v>----</v>
      </c>
      <c r="G10" s="475"/>
      <c r="H10" s="487" t="str">
        <f t="shared" si="2"/>
        <v>----</v>
      </c>
      <c r="I10" s="488"/>
      <c r="J10" s="453" t="str">
        <f t="shared" si="3"/>
        <v>----</v>
      </c>
    </row>
    <row r="11" spans="1:12" s="434" customFormat="1">
      <c r="A11" s="451"/>
      <c r="B11" s="452"/>
      <c r="C11" s="448"/>
      <c r="D11" s="468"/>
      <c r="E11" s="475"/>
      <c r="F11" s="487" t="str">
        <f t="shared" si="1"/>
        <v>----</v>
      </c>
      <c r="G11" s="475"/>
      <c r="H11" s="487" t="str">
        <f t="shared" si="2"/>
        <v>----</v>
      </c>
      <c r="I11" s="488"/>
      <c r="J11" s="453" t="str">
        <f t="shared" si="3"/>
        <v>----</v>
      </c>
    </row>
    <row r="12" spans="1:12" s="434" customFormat="1">
      <c r="A12" s="451"/>
      <c r="B12" s="452"/>
      <c r="C12" s="448"/>
      <c r="D12" s="468"/>
      <c r="E12" s="475"/>
      <c r="F12" s="487" t="str">
        <f t="shared" si="1"/>
        <v>----</v>
      </c>
      <c r="G12" s="475"/>
      <c r="H12" s="487" t="str">
        <f t="shared" si="2"/>
        <v>----</v>
      </c>
      <c r="I12" s="488"/>
      <c r="J12" s="453" t="str">
        <f t="shared" si="3"/>
        <v>----</v>
      </c>
    </row>
    <row r="13" spans="1:12" s="434" customFormat="1">
      <c r="A13" s="451"/>
      <c r="B13" s="452"/>
      <c r="C13" s="448"/>
      <c r="D13" s="468"/>
      <c r="E13" s="475"/>
      <c r="F13" s="487" t="str">
        <f t="shared" si="1"/>
        <v>----</v>
      </c>
      <c r="G13" s="475"/>
      <c r="H13" s="487" t="str">
        <f t="shared" si="2"/>
        <v>----</v>
      </c>
      <c r="I13" s="488"/>
      <c r="J13" s="453" t="str">
        <f t="shared" si="3"/>
        <v>----</v>
      </c>
    </row>
    <row r="14" spans="1:12" s="434" customFormat="1">
      <c r="A14" s="451"/>
      <c r="B14" s="452"/>
      <c r="C14" s="448"/>
      <c r="D14" s="468"/>
      <c r="E14" s="475"/>
      <c r="F14" s="487" t="str">
        <f t="shared" si="1"/>
        <v>----</v>
      </c>
      <c r="G14" s="475"/>
      <c r="H14" s="487" t="str">
        <f t="shared" si="2"/>
        <v>----</v>
      </c>
      <c r="I14" s="488"/>
      <c r="J14" s="453" t="str">
        <f t="shared" si="3"/>
        <v>----</v>
      </c>
    </row>
    <row r="15" spans="1:12" s="434" customFormat="1">
      <c r="A15" s="451"/>
      <c r="B15" s="452"/>
      <c r="C15" s="448"/>
      <c r="D15" s="468"/>
      <c r="E15" s="475"/>
      <c r="F15" s="487" t="str">
        <f t="shared" si="1"/>
        <v>----</v>
      </c>
      <c r="G15" s="475"/>
      <c r="H15" s="487" t="str">
        <f t="shared" si="2"/>
        <v>----</v>
      </c>
      <c r="I15" s="488"/>
      <c r="J15" s="453" t="str">
        <f t="shared" si="3"/>
        <v>----</v>
      </c>
    </row>
    <row r="16" spans="1:12" s="434" customFormat="1">
      <c r="A16" s="451"/>
      <c r="B16" s="452"/>
      <c r="C16" s="448"/>
      <c r="D16" s="468"/>
      <c r="E16" s="475"/>
      <c r="F16" s="487" t="str">
        <f t="shared" si="1"/>
        <v>----</v>
      </c>
      <c r="G16" s="475"/>
      <c r="H16" s="487" t="str">
        <f t="shared" si="2"/>
        <v>----</v>
      </c>
      <c r="I16" s="488"/>
      <c r="J16" s="453" t="str">
        <f t="shared" si="3"/>
        <v>----</v>
      </c>
    </row>
    <row r="17" spans="1:10" s="434" customFormat="1">
      <c r="A17" s="451"/>
      <c r="B17" s="452"/>
      <c r="C17" s="448"/>
      <c r="D17" s="468"/>
      <c r="E17" s="475"/>
      <c r="F17" s="487" t="str">
        <f t="shared" si="1"/>
        <v>----</v>
      </c>
      <c r="G17" s="475"/>
      <c r="H17" s="487" t="str">
        <f t="shared" si="2"/>
        <v>----</v>
      </c>
      <c r="I17" s="488"/>
      <c r="J17" s="453" t="str">
        <f t="shared" si="3"/>
        <v>----</v>
      </c>
    </row>
    <row r="18" spans="1:10" s="434" customFormat="1">
      <c r="A18" s="451"/>
      <c r="B18" s="452"/>
      <c r="C18" s="448"/>
      <c r="D18" s="468"/>
      <c r="E18" s="475"/>
      <c r="F18" s="487" t="str">
        <f t="shared" si="1"/>
        <v>----</v>
      </c>
      <c r="G18" s="475"/>
      <c r="H18" s="487" t="str">
        <f t="shared" si="2"/>
        <v>----</v>
      </c>
      <c r="I18" s="488"/>
      <c r="J18" s="453" t="str">
        <f t="shared" si="3"/>
        <v>----</v>
      </c>
    </row>
    <row r="19" spans="1:10" s="434" customFormat="1">
      <c r="A19" s="451"/>
      <c r="B19" s="452"/>
      <c r="C19" s="448"/>
      <c r="D19" s="468"/>
      <c r="E19" s="475"/>
      <c r="F19" s="487" t="str">
        <f t="shared" si="1"/>
        <v>----</v>
      </c>
      <c r="G19" s="475"/>
      <c r="H19" s="487" t="str">
        <f t="shared" si="2"/>
        <v>----</v>
      </c>
      <c r="I19" s="488"/>
      <c r="J19" s="453" t="str">
        <f t="shared" si="3"/>
        <v>----</v>
      </c>
    </row>
    <row r="20" spans="1:10" s="434" customFormat="1">
      <c r="A20" s="451"/>
      <c r="B20" s="452"/>
      <c r="C20" s="448"/>
      <c r="D20" s="468"/>
      <c r="E20" s="475"/>
      <c r="F20" s="487" t="str">
        <f t="shared" si="1"/>
        <v>----</v>
      </c>
      <c r="G20" s="475"/>
      <c r="H20" s="487" t="str">
        <f t="shared" si="2"/>
        <v>----</v>
      </c>
      <c r="I20" s="488"/>
      <c r="J20" s="453" t="str">
        <f t="shared" si="3"/>
        <v>----</v>
      </c>
    </row>
    <row r="21" spans="1:10">
      <c r="A21" s="454"/>
      <c r="B21" s="455"/>
      <c r="C21" s="456"/>
      <c r="D21" s="469"/>
      <c r="E21" s="476"/>
      <c r="F21" s="489" t="str">
        <f t="shared" si="0"/>
        <v>----</v>
      </c>
      <c r="G21" s="476"/>
      <c r="H21" s="489" t="str">
        <f>IF(OR(G21="Complete",ISBLANK(G21)),"----",G21-$D21)</f>
        <v>----</v>
      </c>
      <c r="I21" s="490"/>
      <c r="J21" s="457" t="str">
        <f>IF(OR(I21="Complete",ISBLANK(I21)),"----",I21-$D21)</f>
        <v>----</v>
      </c>
    </row>
    <row r="22" spans="1:10" ht="15.75" thickBot="1">
      <c r="A22" s="74"/>
      <c r="B22" s="75"/>
      <c r="C22" s="76"/>
      <c r="D22" s="432"/>
      <c r="E22" s="477"/>
      <c r="F22" s="478" t="str">
        <f t="shared" si="0"/>
        <v>----</v>
      </c>
      <c r="G22" s="477"/>
      <c r="H22" s="478" t="str">
        <f>IF(OR(G22="Complete",ISBLANK(G22)),"----",G22-$D22)</f>
        <v>----</v>
      </c>
      <c r="I22" s="483"/>
      <c r="J22" s="77" t="str">
        <f>IF(OR(I22="Complete",ISBLANK(I22)),"----",I22-$D22)</f>
        <v>----</v>
      </c>
    </row>
    <row r="23" spans="1:10" ht="15.75" thickBot="1">
      <c r="A23" s="27"/>
      <c r="B23" s="27"/>
      <c r="C23" s="28"/>
      <c r="D23" s="28"/>
      <c r="E23" s="441"/>
      <c r="F23" s="443">
        <f>SUM(F4:F22)</f>
        <v>0</v>
      </c>
      <c r="G23" s="441"/>
      <c r="H23" s="443">
        <f>SUM(H4:H22)</f>
        <v>0</v>
      </c>
      <c r="I23" s="28"/>
      <c r="J23" s="69">
        <f>SUM(J4:J22)</f>
        <v>138063.04999999993</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A6" sqref="A6:K6"/>
    </sheetView>
  </sheetViews>
  <sheetFormatPr defaultRowHeight="15"/>
  <cols>
    <col min="2" max="2" width="18.28515625" bestFit="1" customWidth="1"/>
    <col min="3" max="3" width="12.5703125" bestFit="1" customWidth="1"/>
    <col min="4" max="4" width="11.42578125" bestFit="1" customWidth="1"/>
    <col min="5" max="8" width="9.140625" style="434"/>
    <col min="11" max="11" width="10.85546875" bestFit="1" customWidth="1"/>
  </cols>
  <sheetData>
    <row r="1" spans="1:11" ht="15.75" thickBot="1">
      <c r="A1" s="958" t="s">
        <v>261</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69" thickBot="1">
      <c r="A3" s="966"/>
      <c r="B3" s="968"/>
      <c r="C3" s="968"/>
      <c r="D3" s="970"/>
      <c r="E3" s="462" t="s">
        <v>121</v>
      </c>
      <c r="F3" s="470" t="s">
        <v>704</v>
      </c>
      <c r="G3" s="462" t="s">
        <v>121</v>
      </c>
      <c r="H3" s="470" t="s">
        <v>704</v>
      </c>
      <c r="I3" s="480" t="s">
        <v>121</v>
      </c>
      <c r="J3" s="25" t="s">
        <v>704</v>
      </c>
    </row>
    <row r="4" spans="1:11">
      <c r="A4" s="400">
        <v>45251</v>
      </c>
      <c r="B4" s="401" t="s">
        <v>680</v>
      </c>
      <c r="C4" s="393">
        <v>480692.89</v>
      </c>
      <c r="D4" s="547">
        <f>C4</f>
        <v>480692.89</v>
      </c>
      <c r="E4" s="471"/>
      <c r="F4" s="472" t="str">
        <f>IF(ISBLANK(E4),"----",E4-$D4)</f>
        <v>----</v>
      </c>
      <c r="G4" s="471"/>
      <c r="H4" s="472" t="str">
        <f t="shared" ref="H4:H17" si="0">IF(OR(G4="Complete",ISBLANK(G4)),"----",G4-$D4)</f>
        <v>----</v>
      </c>
      <c r="I4" s="481"/>
      <c r="J4" s="73" t="str">
        <f t="shared" ref="J4:J17" si="1">IF(OR(I4="Complete",ISBLANK(I4)),"----",I4-$D4)</f>
        <v>----</v>
      </c>
    </row>
    <row r="5" spans="1:11" s="399" customFormat="1">
      <c r="A5" s="404">
        <v>45489</v>
      </c>
      <c r="B5" s="450" t="s">
        <v>764</v>
      </c>
      <c r="C5" s="376">
        <v>2088602.35</v>
      </c>
      <c r="D5" s="566">
        <f>C5-1500000</f>
        <v>588602.35000000009</v>
      </c>
      <c r="E5" s="473"/>
      <c r="F5" s="474" t="str">
        <f t="shared" ref="F5:F17" si="2">IF(ISBLANK(E5),"----",E5-$D5)</f>
        <v>----</v>
      </c>
      <c r="G5" s="473"/>
      <c r="H5" s="474" t="str">
        <f t="shared" si="0"/>
        <v>----</v>
      </c>
      <c r="I5" s="486"/>
      <c r="J5" s="403" t="str">
        <f t="shared" si="1"/>
        <v>----</v>
      </c>
      <c r="K5" s="866" t="s">
        <v>884</v>
      </c>
    </row>
    <row r="6" spans="1:11" s="399" customFormat="1">
      <c r="A6" s="404">
        <v>45734</v>
      </c>
      <c r="B6" s="703" t="s">
        <v>857</v>
      </c>
      <c r="C6" s="376">
        <f>1/2*855770.56</f>
        <v>427885.28</v>
      </c>
      <c r="D6" s="566">
        <f>C6-1/2*20000</f>
        <v>417885.28</v>
      </c>
      <c r="E6" s="473"/>
      <c r="F6" s="474" t="str">
        <f t="shared" si="2"/>
        <v>----</v>
      </c>
      <c r="G6" s="473"/>
      <c r="H6" s="474" t="str">
        <f t="shared" si="0"/>
        <v>----</v>
      </c>
      <c r="I6" s="486"/>
      <c r="J6" s="403" t="str">
        <f t="shared" si="1"/>
        <v>----</v>
      </c>
      <c r="K6" s="399" t="s">
        <v>885</v>
      </c>
    </row>
    <row r="7" spans="1:11" s="399" customFormat="1">
      <c r="A7" s="404"/>
      <c r="B7" s="405"/>
      <c r="C7" s="402"/>
      <c r="D7" s="433"/>
      <c r="E7" s="473"/>
      <c r="F7" s="474" t="str">
        <f t="shared" si="2"/>
        <v>----</v>
      </c>
      <c r="G7" s="473"/>
      <c r="H7" s="474" t="str">
        <f t="shared" si="0"/>
        <v>----</v>
      </c>
      <c r="I7" s="486"/>
      <c r="J7" s="403" t="str">
        <f t="shared" si="1"/>
        <v>----</v>
      </c>
    </row>
    <row r="8" spans="1:11" s="399" customFormat="1">
      <c r="A8" s="404"/>
      <c r="B8" s="405"/>
      <c r="C8" s="402"/>
      <c r="D8" s="433"/>
      <c r="E8" s="473"/>
      <c r="F8" s="474" t="str">
        <f t="shared" si="2"/>
        <v>----</v>
      </c>
      <c r="G8" s="473"/>
      <c r="H8" s="474" t="str">
        <f t="shared" si="0"/>
        <v>----</v>
      </c>
      <c r="I8" s="486"/>
      <c r="J8" s="403" t="str">
        <f t="shared" si="1"/>
        <v>----</v>
      </c>
    </row>
    <row r="9" spans="1:11" s="399" customFormat="1">
      <c r="A9" s="404"/>
      <c r="B9" s="405"/>
      <c r="C9" s="402"/>
      <c r="D9" s="433"/>
      <c r="E9" s="473"/>
      <c r="F9" s="474" t="str">
        <f t="shared" si="2"/>
        <v>----</v>
      </c>
      <c r="G9" s="473"/>
      <c r="H9" s="474" t="str">
        <f t="shared" si="0"/>
        <v>----</v>
      </c>
      <c r="I9" s="486"/>
      <c r="J9" s="403" t="str">
        <f t="shared" si="1"/>
        <v>----</v>
      </c>
    </row>
    <row r="10" spans="1:11" s="399" customFormat="1">
      <c r="A10" s="404"/>
      <c r="B10" s="405"/>
      <c r="C10" s="402"/>
      <c r="D10" s="433"/>
      <c r="E10" s="473"/>
      <c r="F10" s="474" t="str">
        <f t="shared" si="2"/>
        <v>----</v>
      </c>
      <c r="G10" s="473"/>
      <c r="H10" s="474" t="str">
        <f t="shared" si="0"/>
        <v>----</v>
      </c>
      <c r="I10" s="486"/>
      <c r="J10" s="403" t="str">
        <f t="shared" si="1"/>
        <v>----</v>
      </c>
    </row>
    <row r="11" spans="1:11" s="399" customFormat="1">
      <c r="A11" s="404"/>
      <c r="B11" s="405"/>
      <c r="C11" s="402"/>
      <c r="D11" s="433"/>
      <c r="E11" s="473"/>
      <c r="F11" s="474" t="str">
        <f t="shared" si="2"/>
        <v>----</v>
      </c>
      <c r="G11" s="473"/>
      <c r="H11" s="474" t="str">
        <f t="shared" si="0"/>
        <v>----</v>
      </c>
      <c r="I11" s="486"/>
      <c r="J11" s="403" t="str">
        <f t="shared" si="1"/>
        <v>----</v>
      </c>
    </row>
    <row r="12" spans="1:11" s="399" customFormat="1">
      <c r="A12" s="404"/>
      <c r="B12" s="405"/>
      <c r="C12" s="402"/>
      <c r="D12" s="433"/>
      <c r="E12" s="473"/>
      <c r="F12" s="474" t="str">
        <f t="shared" si="2"/>
        <v>----</v>
      </c>
      <c r="G12" s="473"/>
      <c r="H12" s="474" t="str">
        <f t="shared" si="0"/>
        <v>----</v>
      </c>
      <c r="I12" s="486"/>
      <c r="J12" s="403" t="str">
        <f t="shared" si="1"/>
        <v>----</v>
      </c>
    </row>
    <row r="13" spans="1:11" s="399" customFormat="1">
      <c r="A13" s="404"/>
      <c r="B13" s="405"/>
      <c r="C13" s="402"/>
      <c r="D13" s="433"/>
      <c r="E13" s="473"/>
      <c r="F13" s="474" t="str">
        <f t="shared" si="2"/>
        <v>----</v>
      </c>
      <c r="G13" s="473"/>
      <c r="H13" s="474" t="str">
        <f t="shared" si="0"/>
        <v>----</v>
      </c>
      <c r="I13" s="486"/>
      <c r="J13" s="403" t="str">
        <f t="shared" si="1"/>
        <v>----</v>
      </c>
    </row>
    <row r="14" spans="1:11" s="399" customFormat="1">
      <c r="A14" s="404"/>
      <c r="B14" s="405"/>
      <c r="C14" s="402"/>
      <c r="D14" s="433"/>
      <c r="E14" s="473"/>
      <c r="F14" s="474" t="str">
        <f t="shared" si="2"/>
        <v>----</v>
      </c>
      <c r="G14" s="473"/>
      <c r="H14" s="474" t="str">
        <f t="shared" si="0"/>
        <v>----</v>
      </c>
      <c r="I14" s="486"/>
      <c r="J14" s="403" t="str">
        <f t="shared" si="1"/>
        <v>----</v>
      </c>
    </row>
    <row r="15" spans="1:11">
      <c r="A15" s="88"/>
      <c r="B15" s="101"/>
      <c r="C15" s="82"/>
      <c r="D15" s="433"/>
      <c r="E15" s="473"/>
      <c r="F15" s="474" t="str">
        <f t="shared" si="2"/>
        <v>----</v>
      </c>
      <c r="G15" s="473"/>
      <c r="H15" s="474" t="str">
        <f t="shared" si="0"/>
        <v>----</v>
      </c>
      <c r="I15" s="486"/>
      <c r="J15" s="83" t="str">
        <f t="shared" si="1"/>
        <v>----</v>
      </c>
    </row>
    <row r="16" spans="1:11">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4"/>
    <col min="7" max="7" width="10.7109375" style="434" bestFit="1" customWidth="1"/>
    <col min="8" max="8" width="9.85546875" style="434" bestFit="1" customWidth="1"/>
  </cols>
  <sheetData>
    <row r="1" spans="1:11" ht="15.75" thickBot="1">
      <c r="A1" s="958" t="s">
        <v>262</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69" thickBot="1">
      <c r="A3" s="966"/>
      <c r="B3" s="968"/>
      <c r="C3" s="968"/>
      <c r="D3" s="970"/>
      <c r="E3" s="462" t="s">
        <v>121</v>
      </c>
      <c r="F3" s="470" t="s">
        <v>704</v>
      </c>
      <c r="G3" s="462" t="s">
        <v>121</v>
      </c>
      <c r="H3" s="470" t="s">
        <v>704</v>
      </c>
      <c r="I3" s="480" t="s">
        <v>121</v>
      </c>
      <c r="J3" s="25" t="s">
        <v>704</v>
      </c>
    </row>
    <row r="4" spans="1:11">
      <c r="A4" s="70">
        <v>43998</v>
      </c>
      <c r="B4" s="71" t="s">
        <v>374</v>
      </c>
      <c r="C4" s="72">
        <v>439607.15</v>
      </c>
      <c r="D4" s="431">
        <f>C4</f>
        <v>439607.15</v>
      </c>
      <c r="E4" s="471"/>
      <c r="F4" s="472" t="str">
        <f>IF(ISBLANK(E4),"----",E4-$D4)</f>
        <v>----</v>
      </c>
      <c r="G4" s="471">
        <v>444195.77</v>
      </c>
      <c r="H4" s="472">
        <f t="shared" ref="H4:H17" si="0">IF(OR(G4="Complete",ISBLANK(G4)),"----",G4-$D4)</f>
        <v>4588.6199999999953</v>
      </c>
      <c r="I4" s="481" t="s">
        <v>703</v>
      </c>
      <c r="J4" s="73" t="str">
        <f t="shared" ref="J4:J17" si="1">IF(OR(I4="Complete",ISBLANK(I4)),"----",I4-$D4)</f>
        <v>----</v>
      </c>
    </row>
    <row r="5" spans="1:11">
      <c r="A5" s="88">
        <v>44216</v>
      </c>
      <c r="B5" s="101" t="s">
        <v>375</v>
      </c>
      <c r="C5" s="82">
        <v>308610.75</v>
      </c>
      <c r="D5" s="433">
        <v>62820.75</v>
      </c>
      <c r="E5" s="473"/>
      <c r="F5" s="474" t="str">
        <f t="shared" ref="F5:F17" si="2">IF(ISBLANK(E5),"----",E5-$D5)</f>
        <v>----</v>
      </c>
      <c r="G5" s="473">
        <f>338536.55-245790</f>
        <v>92746.549999999988</v>
      </c>
      <c r="H5" s="474">
        <f t="shared" si="0"/>
        <v>29925.799999999988</v>
      </c>
      <c r="I5" s="486" t="s">
        <v>703</v>
      </c>
      <c r="J5" s="83" t="str">
        <f t="shared" si="1"/>
        <v>----</v>
      </c>
      <c r="K5" t="s">
        <v>812</v>
      </c>
    </row>
    <row r="6" spans="1:11">
      <c r="A6" s="102">
        <v>44488</v>
      </c>
      <c r="B6" s="103" t="s">
        <v>482</v>
      </c>
      <c r="C6" s="87">
        <v>794590.8</v>
      </c>
      <c r="D6" s="468">
        <f>C6</f>
        <v>794590.8</v>
      </c>
      <c r="E6" s="475"/>
      <c r="F6" s="474" t="str">
        <f t="shared" si="2"/>
        <v>----</v>
      </c>
      <c r="G6" s="475">
        <v>797681.03</v>
      </c>
      <c r="H6" s="474">
        <f t="shared" si="0"/>
        <v>3090.2299999999814</v>
      </c>
      <c r="I6" s="488" t="s">
        <v>703</v>
      </c>
      <c r="J6" s="83" t="str">
        <f t="shared" si="1"/>
        <v>----</v>
      </c>
    </row>
    <row r="7" spans="1:11">
      <c r="A7" s="102">
        <v>44551</v>
      </c>
      <c r="B7" s="258" t="s">
        <v>481</v>
      </c>
      <c r="C7" s="87">
        <v>507684.25</v>
      </c>
      <c r="D7" s="468">
        <f>C7</f>
        <v>507684.25</v>
      </c>
      <c r="E7" s="475"/>
      <c r="F7" s="474" t="str">
        <f t="shared" si="2"/>
        <v>----</v>
      </c>
      <c r="G7" s="475">
        <v>520597.6</v>
      </c>
      <c r="H7" s="474">
        <f t="shared" si="0"/>
        <v>12913.349999999977</v>
      </c>
      <c r="I7" s="488" t="s">
        <v>703</v>
      </c>
      <c r="J7" s="83" t="str">
        <f t="shared" si="1"/>
        <v>----</v>
      </c>
    </row>
    <row r="8" spans="1:11">
      <c r="A8" s="102">
        <v>44670</v>
      </c>
      <c r="B8" s="103" t="s">
        <v>515</v>
      </c>
      <c r="C8" s="87">
        <v>588114.94999999995</v>
      </c>
      <c r="D8" s="468">
        <f>C8</f>
        <v>588114.94999999995</v>
      </c>
      <c r="E8" s="475"/>
      <c r="F8" s="474" t="str">
        <f t="shared" si="2"/>
        <v>----</v>
      </c>
      <c r="G8" s="475">
        <v>602873.4</v>
      </c>
      <c r="H8" s="474">
        <f t="shared" si="0"/>
        <v>14758.45000000007</v>
      </c>
      <c r="I8" s="488" t="s">
        <v>703</v>
      </c>
      <c r="J8" s="83" t="str">
        <f t="shared" si="1"/>
        <v>----</v>
      </c>
    </row>
    <row r="9" spans="1:11">
      <c r="A9" s="102">
        <v>45461</v>
      </c>
      <c r="B9" s="452" t="s">
        <v>755</v>
      </c>
      <c r="C9" s="372">
        <v>555067.51</v>
      </c>
      <c r="D9" s="565">
        <f>C9</f>
        <v>555067.51</v>
      </c>
      <c r="E9" s="475"/>
      <c r="F9" s="474" t="str">
        <f t="shared" si="2"/>
        <v>----</v>
      </c>
      <c r="G9" s="475"/>
      <c r="H9" s="474" t="str">
        <f t="shared" si="0"/>
        <v>----</v>
      </c>
      <c r="I9" s="488"/>
      <c r="J9" s="83" t="str">
        <f t="shared" si="1"/>
        <v>----</v>
      </c>
    </row>
    <row r="10" spans="1:11">
      <c r="A10" s="102"/>
      <c r="B10" s="103"/>
      <c r="C10" s="372"/>
      <c r="D10" s="565"/>
      <c r="E10" s="475"/>
      <c r="F10" s="474" t="str">
        <f t="shared" si="2"/>
        <v>----</v>
      </c>
      <c r="G10" s="475"/>
      <c r="H10" s="474" t="str">
        <f t="shared" si="0"/>
        <v>----</v>
      </c>
      <c r="I10" s="488"/>
      <c r="J10" s="83" t="str">
        <f t="shared" si="1"/>
        <v>----</v>
      </c>
    </row>
    <row r="11" spans="1:11">
      <c r="A11" s="102"/>
      <c r="B11" s="103"/>
      <c r="C11" s="372"/>
      <c r="D11" s="565"/>
      <c r="E11" s="475"/>
      <c r="F11" s="474" t="str">
        <f t="shared" si="2"/>
        <v>----</v>
      </c>
      <c r="G11" s="475"/>
      <c r="H11" s="474" t="str">
        <f t="shared" si="0"/>
        <v>----</v>
      </c>
      <c r="I11" s="488"/>
      <c r="J11" s="83" t="str">
        <f t="shared" si="1"/>
        <v>----</v>
      </c>
    </row>
    <row r="12" spans="1:11">
      <c r="A12" s="102"/>
      <c r="B12" s="103"/>
      <c r="C12" s="372"/>
      <c r="D12" s="565"/>
      <c r="E12" s="475"/>
      <c r="F12" s="474" t="str">
        <f t="shared" si="2"/>
        <v>----</v>
      </c>
      <c r="G12" s="475"/>
      <c r="H12" s="474" t="str">
        <f t="shared" si="0"/>
        <v>----</v>
      </c>
      <c r="I12" s="488"/>
      <c r="J12" s="83" t="str">
        <f t="shared" si="1"/>
        <v>----</v>
      </c>
    </row>
    <row r="13" spans="1:11">
      <c r="A13" s="102"/>
      <c r="B13" s="103"/>
      <c r="C13" s="372"/>
      <c r="D13" s="565"/>
      <c r="E13" s="475"/>
      <c r="F13" s="474" t="str">
        <f t="shared" si="2"/>
        <v>----</v>
      </c>
      <c r="G13" s="475"/>
      <c r="H13" s="474" t="str">
        <f t="shared" si="0"/>
        <v>----</v>
      </c>
      <c r="I13" s="488"/>
      <c r="J13" s="83" t="str">
        <f t="shared" si="1"/>
        <v>----</v>
      </c>
    </row>
    <row r="14" spans="1:11">
      <c r="A14" s="116"/>
      <c r="B14" s="117"/>
      <c r="C14" s="608"/>
      <c r="D14" s="609"/>
      <c r="E14" s="476"/>
      <c r="F14" s="474" t="str">
        <f t="shared" si="2"/>
        <v>----</v>
      </c>
      <c r="G14" s="476"/>
      <c r="H14" s="474" t="str">
        <f t="shared" si="0"/>
        <v>----</v>
      </c>
      <c r="I14" s="490"/>
      <c r="J14" s="83" t="str">
        <f t="shared" si="1"/>
        <v>----</v>
      </c>
    </row>
    <row r="15" spans="1:11">
      <c r="A15" s="88"/>
      <c r="B15" s="101"/>
      <c r="C15" s="459"/>
      <c r="D15" s="506"/>
      <c r="E15" s="473"/>
      <c r="F15" s="474" t="str">
        <f t="shared" si="2"/>
        <v>----</v>
      </c>
      <c r="G15" s="473"/>
      <c r="H15" s="474" t="str">
        <f t="shared" si="0"/>
        <v>----</v>
      </c>
      <c r="I15" s="486"/>
      <c r="J15" s="83" t="str">
        <f t="shared" si="1"/>
        <v>----</v>
      </c>
    </row>
    <row r="16" spans="1:11">
      <c r="A16" s="91"/>
      <c r="B16" s="92"/>
      <c r="C16" s="610"/>
      <c r="D16" s="611"/>
      <c r="E16" s="484"/>
      <c r="F16" s="485" t="str">
        <f t="shared" si="2"/>
        <v>----</v>
      </c>
      <c r="G16" s="484"/>
      <c r="H16" s="485" t="str">
        <f t="shared" si="0"/>
        <v>----</v>
      </c>
      <c r="I16" s="482"/>
      <c r="J16" s="85" t="str">
        <f t="shared" si="1"/>
        <v>----</v>
      </c>
    </row>
    <row r="17" spans="1:10" ht="15.75" thickBot="1">
      <c r="A17" s="74"/>
      <c r="B17" s="75"/>
      <c r="C17" s="375"/>
      <c r="D17" s="529"/>
      <c r="E17" s="477"/>
      <c r="F17" s="478" t="str">
        <f t="shared" si="2"/>
        <v>----</v>
      </c>
      <c r="G17" s="477"/>
      <c r="H17" s="478" t="str">
        <f t="shared" si="0"/>
        <v>----</v>
      </c>
      <c r="I17" s="483"/>
      <c r="J17" s="77" t="str">
        <f t="shared" si="1"/>
        <v>----</v>
      </c>
    </row>
    <row r="18" spans="1:10" ht="15.75" thickBot="1">
      <c r="A18" s="27"/>
      <c r="B18" s="27"/>
      <c r="C18" s="28"/>
      <c r="D18" s="28"/>
      <c r="E18" s="441"/>
      <c r="F18" s="443">
        <f>SUM(F4:F17)</f>
        <v>0</v>
      </c>
      <c r="G18" s="441"/>
      <c r="H18" s="443">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4" bestFit="1" customWidth="1"/>
    <col min="6" max="6" width="13.5703125" style="434" customWidth="1"/>
    <col min="7" max="7" width="12" style="434" bestFit="1" customWidth="1"/>
    <col min="8" max="8" width="13.5703125" style="434" customWidth="1"/>
    <col min="9" max="9" width="12" bestFit="1" customWidth="1"/>
    <col min="10" max="10" width="13.5703125" customWidth="1"/>
  </cols>
  <sheetData>
    <row r="1" spans="1:11" ht="15.75" thickBot="1">
      <c r="A1" s="958" t="s">
        <v>181</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46.5" thickBot="1">
      <c r="A3" s="966"/>
      <c r="B3" s="968"/>
      <c r="C3" s="968"/>
      <c r="D3" s="970"/>
      <c r="E3" s="462" t="s">
        <v>121</v>
      </c>
      <c r="F3" s="470" t="s">
        <v>704</v>
      </c>
      <c r="G3" s="462" t="s">
        <v>121</v>
      </c>
      <c r="H3" s="470" t="s">
        <v>704</v>
      </c>
      <c r="I3" s="480" t="s">
        <v>121</v>
      </c>
      <c r="J3" s="25" t="s">
        <v>704</v>
      </c>
    </row>
    <row r="4" spans="1:11">
      <c r="A4" s="70">
        <v>43852</v>
      </c>
      <c r="B4" s="71" t="s">
        <v>200</v>
      </c>
      <c r="C4" s="72">
        <v>1206780.03</v>
      </c>
      <c r="D4" s="431">
        <f>C4</f>
        <v>1206780.03</v>
      </c>
      <c r="E4" s="471">
        <v>1215947.19</v>
      </c>
      <c r="F4" s="472">
        <f>IF(ISBLANK(E4),"----",E4-$D4)</f>
        <v>9167.1599999999162</v>
      </c>
      <c r="G4" s="471" t="s">
        <v>703</v>
      </c>
      <c r="H4" s="472" t="str">
        <f t="shared" ref="H4:H20" si="0">IF(OR(G4="Complete",ISBLANK(G4)),"----",G4-$D4)</f>
        <v>----</v>
      </c>
      <c r="I4" s="481" t="s">
        <v>703</v>
      </c>
      <c r="J4" s="73" t="str">
        <f t="shared" ref="J4:J20" si="1">IF(OR(I4="Complete",ISBLANK(I4)),"----",I4-$D4)</f>
        <v>----</v>
      </c>
    </row>
    <row r="5" spans="1:11">
      <c r="A5" s="91">
        <v>44124</v>
      </c>
      <c r="B5" s="92" t="s">
        <v>313</v>
      </c>
      <c r="C5" s="84">
        <v>786173.3</v>
      </c>
      <c r="D5" s="479">
        <v>389452.3</v>
      </c>
      <c r="E5" s="484"/>
      <c r="F5" s="474" t="str">
        <f t="shared" ref="F5:F20" si="2">IF(ISBLANK(E5),"----",E5-$D5)</f>
        <v>----</v>
      </c>
      <c r="G5" s="484">
        <f>780468.25-396721</f>
        <v>383747.25</v>
      </c>
      <c r="H5" s="474">
        <f t="shared" si="0"/>
        <v>-5705.0499999999884</v>
      </c>
      <c r="I5" s="482" t="s">
        <v>703</v>
      </c>
      <c r="J5" s="83" t="str">
        <f t="shared" si="1"/>
        <v>----</v>
      </c>
      <c r="K5" s="786" t="s">
        <v>807</v>
      </c>
    </row>
    <row r="6" spans="1:11">
      <c r="A6" s="102">
        <v>44334</v>
      </c>
      <c r="B6" s="103" t="s">
        <v>429</v>
      </c>
      <c r="C6" s="87">
        <v>821929.8</v>
      </c>
      <c r="D6" s="468">
        <f>C6</f>
        <v>821929.8</v>
      </c>
      <c r="E6" s="475">
        <v>800377.23</v>
      </c>
      <c r="F6" s="474">
        <f t="shared" si="2"/>
        <v>-21552.570000000065</v>
      </c>
      <c r="G6" s="475" t="s">
        <v>703</v>
      </c>
      <c r="H6" s="474" t="str">
        <f t="shared" si="0"/>
        <v>----</v>
      </c>
      <c r="I6" s="488" t="s">
        <v>703</v>
      </c>
      <c r="J6" s="83" t="str">
        <f t="shared" si="1"/>
        <v>----</v>
      </c>
    </row>
    <row r="7" spans="1:11">
      <c r="A7" s="102">
        <v>44460</v>
      </c>
      <c r="B7" s="103" t="s">
        <v>453</v>
      </c>
      <c r="C7" s="87">
        <v>760896.65</v>
      </c>
      <c r="D7" s="468">
        <v>446285.65</v>
      </c>
      <c r="E7" s="475"/>
      <c r="F7" s="474" t="str">
        <f t="shared" si="2"/>
        <v>----</v>
      </c>
      <c r="G7" s="475"/>
      <c r="H7" s="474" t="str">
        <f t="shared" si="0"/>
        <v>----</v>
      </c>
      <c r="I7" s="488"/>
      <c r="J7" s="83" t="str">
        <f t="shared" si="1"/>
        <v>----</v>
      </c>
    </row>
    <row r="8" spans="1:11">
      <c r="A8" s="102">
        <v>45370</v>
      </c>
      <c r="B8" s="103" t="s">
        <v>734</v>
      </c>
      <c r="C8" s="87">
        <v>453367.26</v>
      </c>
      <c r="D8" s="468">
        <f>C8</f>
        <v>453367.26</v>
      </c>
      <c r="E8" s="475"/>
      <c r="F8" s="474" t="str">
        <f t="shared" si="2"/>
        <v>----</v>
      </c>
      <c r="G8" s="475"/>
      <c r="H8" s="474" t="str">
        <f t="shared" si="0"/>
        <v>----</v>
      </c>
      <c r="I8" s="488"/>
      <c r="J8" s="83" t="str">
        <f t="shared" si="1"/>
        <v>----</v>
      </c>
    </row>
    <row r="9" spans="1:11">
      <c r="A9" s="102"/>
      <c r="B9" s="103"/>
      <c r="C9" s="87"/>
      <c r="D9" s="468"/>
      <c r="E9" s="475"/>
      <c r="F9" s="474" t="str">
        <f t="shared" si="2"/>
        <v>----</v>
      </c>
      <c r="G9" s="475"/>
      <c r="H9" s="474" t="str">
        <f t="shared" si="0"/>
        <v>----</v>
      </c>
      <c r="I9" s="488"/>
      <c r="J9" s="83" t="str">
        <f t="shared" si="1"/>
        <v>----</v>
      </c>
    </row>
    <row r="10" spans="1:11">
      <c r="A10" s="102"/>
      <c r="B10" s="103"/>
      <c r="C10" s="87"/>
      <c r="D10" s="468"/>
      <c r="E10" s="475"/>
      <c r="F10" s="474" t="str">
        <f t="shared" si="2"/>
        <v>----</v>
      </c>
      <c r="G10" s="475"/>
      <c r="H10" s="474" t="str">
        <f t="shared" si="0"/>
        <v>----</v>
      </c>
      <c r="I10" s="488"/>
      <c r="J10" s="83" t="str">
        <f t="shared" si="1"/>
        <v>----</v>
      </c>
    </row>
    <row r="11" spans="1:11">
      <c r="A11" s="102"/>
      <c r="B11" s="103"/>
      <c r="C11" s="87"/>
      <c r="D11" s="468"/>
      <c r="E11" s="475"/>
      <c r="F11" s="474" t="str">
        <f t="shared" si="2"/>
        <v>----</v>
      </c>
      <c r="G11" s="475"/>
      <c r="H11" s="474" t="str">
        <f t="shared" si="0"/>
        <v>----</v>
      </c>
      <c r="I11" s="488"/>
      <c r="J11" s="83" t="str">
        <f t="shared" si="1"/>
        <v>----</v>
      </c>
    </row>
    <row r="12" spans="1:11">
      <c r="A12" s="102"/>
      <c r="B12" s="103"/>
      <c r="C12" s="87"/>
      <c r="D12" s="468"/>
      <c r="E12" s="475"/>
      <c r="F12" s="474" t="str">
        <f t="shared" si="2"/>
        <v>----</v>
      </c>
      <c r="G12" s="475"/>
      <c r="H12" s="474" t="str">
        <f t="shared" si="0"/>
        <v>----</v>
      </c>
      <c r="I12" s="488"/>
      <c r="J12" s="83" t="str">
        <f t="shared" si="1"/>
        <v>----</v>
      </c>
    </row>
    <row r="13" spans="1:11">
      <c r="A13" s="102"/>
      <c r="B13" s="103"/>
      <c r="C13" s="87"/>
      <c r="D13" s="468"/>
      <c r="E13" s="475"/>
      <c r="F13" s="474" t="str">
        <f t="shared" si="2"/>
        <v>----</v>
      </c>
      <c r="G13" s="475"/>
      <c r="H13" s="474" t="str">
        <f t="shared" si="0"/>
        <v>----</v>
      </c>
      <c r="I13" s="488"/>
      <c r="J13" s="83" t="str">
        <f t="shared" si="1"/>
        <v>----</v>
      </c>
    </row>
    <row r="14" spans="1:11">
      <c r="A14" s="102"/>
      <c r="B14" s="103"/>
      <c r="C14" s="87"/>
      <c r="D14" s="468"/>
      <c r="E14" s="475"/>
      <c r="F14" s="474" t="str">
        <f t="shared" si="2"/>
        <v>----</v>
      </c>
      <c r="G14" s="475"/>
      <c r="H14" s="474" t="str">
        <f t="shared" si="0"/>
        <v>----</v>
      </c>
      <c r="I14" s="488"/>
      <c r="J14" s="83" t="str">
        <f t="shared" si="1"/>
        <v>----</v>
      </c>
    </row>
    <row r="15" spans="1:11">
      <c r="A15" s="102"/>
      <c r="B15" s="103"/>
      <c r="C15" s="87"/>
      <c r="D15" s="468"/>
      <c r="E15" s="475"/>
      <c r="F15" s="474" t="str">
        <f t="shared" si="2"/>
        <v>----</v>
      </c>
      <c r="G15" s="475"/>
      <c r="H15" s="474" t="str">
        <f t="shared" si="0"/>
        <v>----</v>
      </c>
      <c r="I15" s="488"/>
      <c r="J15" s="83" t="str">
        <f t="shared" si="1"/>
        <v>----</v>
      </c>
    </row>
    <row r="16" spans="1:11">
      <c r="A16" s="102"/>
      <c r="B16" s="103"/>
      <c r="C16" s="87"/>
      <c r="D16" s="468"/>
      <c r="E16" s="475"/>
      <c r="F16" s="474" t="str">
        <f t="shared" si="2"/>
        <v>----</v>
      </c>
      <c r="G16" s="475"/>
      <c r="H16" s="474" t="str">
        <f t="shared" si="0"/>
        <v>----</v>
      </c>
      <c r="I16" s="488"/>
      <c r="J16" s="83" t="str">
        <f t="shared" si="1"/>
        <v>----</v>
      </c>
    </row>
    <row r="17" spans="1:10">
      <c r="A17" s="102"/>
      <c r="B17" s="103"/>
      <c r="C17" s="87"/>
      <c r="D17" s="468"/>
      <c r="E17" s="475"/>
      <c r="F17" s="474" t="str">
        <f t="shared" si="2"/>
        <v>----</v>
      </c>
      <c r="G17" s="475"/>
      <c r="H17" s="474" t="str">
        <f t="shared" si="0"/>
        <v>----</v>
      </c>
      <c r="I17" s="488"/>
      <c r="J17" s="83" t="str">
        <f t="shared" si="1"/>
        <v>----</v>
      </c>
    </row>
    <row r="18" spans="1:10">
      <c r="A18" s="102"/>
      <c r="B18" s="103"/>
      <c r="C18" s="87"/>
      <c r="D18" s="468"/>
      <c r="E18" s="475"/>
      <c r="F18" s="474" t="str">
        <f t="shared" si="2"/>
        <v>----</v>
      </c>
      <c r="G18" s="475"/>
      <c r="H18" s="474" t="str">
        <f t="shared" si="0"/>
        <v>----</v>
      </c>
      <c r="I18" s="488"/>
      <c r="J18" s="83" t="str">
        <f t="shared" si="1"/>
        <v>----</v>
      </c>
    </row>
    <row r="19" spans="1:10">
      <c r="A19" s="116"/>
      <c r="B19" s="117"/>
      <c r="C19" s="118"/>
      <c r="D19" s="469"/>
      <c r="E19" s="476"/>
      <c r="F19" s="474" t="str">
        <f t="shared" si="2"/>
        <v>----</v>
      </c>
      <c r="G19" s="476"/>
      <c r="H19" s="474" t="str">
        <f t="shared" si="0"/>
        <v>----</v>
      </c>
      <c r="I19" s="490"/>
      <c r="J19" s="83" t="str">
        <f t="shared" si="1"/>
        <v>----</v>
      </c>
    </row>
    <row r="20" spans="1:10" ht="15.75" thickBot="1">
      <c r="A20" s="74"/>
      <c r="B20" s="75"/>
      <c r="C20" s="76"/>
      <c r="D20" s="432"/>
      <c r="E20" s="477"/>
      <c r="F20" s="478" t="str">
        <f t="shared" si="2"/>
        <v>----</v>
      </c>
      <c r="G20" s="477"/>
      <c r="H20" s="478" t="str">
        <f t="shared" si="0"/>
        <v>----</v>
      </c>
      <c r="I20" s="483"/>
      <c r="J20" s="77" t="str">
        <f t="shared" si="1"/>
        <v>----</v>
      </c>
    </row>
    <row r="21" spans="1:10" ht="15.75" thickBot="1">
      <c r="A21" s="27"/>
      <c r="B21" s="27"/>
      <c r="C21" s="28"/>
      <c r="D21" s="28"/>
      <c r="E21" s="441"/>
      <c r="F21" s="443">
        <f>SUM(F4:F20)</f>
        <v>-12385.410000000149</v>
      </c>
      <c r="G21" s="441"/>
      <c r="H21" s="443">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I8" sqref="I8"/>
    </sheetView>
  </sheetViews>
  <sheetFormatPr defaultRowHeight="15"/>
  <cols>
    <col min="2" max="2" width="22.570312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8" t="s">
        <v>263</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44397</v>
      </c>
      <c r="B4" s="71" t="s">
        <v>439</v>
      </c>
      <c r="C4" s="72">
        <v>335897.75</v>
      </c>
      <c r="D4" s="431">
        <f>C4</f>
        <v>335897.75</v>
      </c>
      <c r="E4" s="471">
        <v>348364.73</v>
      </c>
      <c r="F4" s="472">
        <f>IF(ISBLANK(E4),"----",E4-$D4)</f>
        <v>12466.979999999981</v>
      </c>
      <c r="G4" s="471" t="s">
        <v>703</v>
      </c>
      <c r="H4" s="472" t="str">
        <f t="shared" ref="H4:H22" si="0">IF(OR(G4="Complete",ISBLANK(G4)),"----",G4-$D4)</f>
        <v>----</v>
      </c>
      <c r="I4" s="481" t="s">
        <v>703</v>
      </c>
      <c r="J4" s="73" t="str">
        <f t="shared" ref="J4:J22" si="1">IF(OR(I4="Complete",ISBLANK(I4)),"----",I4-$D4)</f>
        <v>----</v>
      </c>
    </row>
    <row r="5" spans="1:10">
      <c r="A5" s="88">
        <v>44397</v>
      </c>
      <c r="B5" s="101" t="s">
        <v>440</v>
      </c>
      <c r="C5" s="82">
        <v>144399.63</v>
      </c>
      <c r="D5" s="433">
        <f>C5</f>
        <v>144399.63</v>
      </c>
      <c r="E5" s="473">
        <v>166173.15</v>
      </c>
      <c r="F5" s="474">
        <f t="shared" ref="F5:F22" si="2">IF(ISBLANK(E5),"----",E5-$D5)</f>
        <v>21773.51999999999</v>
      </c>
      <c r="G5" s="473" t="s">
        <v>703</v>
      </c>
      <c r="H5" s="474" t="str">
        <f t="shared" si="0"/>
        <v>----</v>
      </c>
      <c r="I5" s="486" t="s">
        <v>703</v>
      </c>
      <c r="J5" s="83" t="str">
        <f t="shared" si="1"/>
        <v>----</v>
      </c>
    </row>
    <row r="6" spans="1:10">
      <c r="A6" s="88">
        <v>44789</v>
      </c>
      <c r="B6" s="101" t="s">
        <v>553</v>
      </c>
      <c r="C6" s="82">
        <v>241434.5</v>
      </c>
      <c r="D6" s="433">
        <f>C6</f>
        <v>241434.5</v>
      </c>
      <c r="E6" s="473"/>
      <c r="F6" s="474" t="str">
        <f t="shared" si="2"/>
        <v>----</v>
      </c>
      <c r="G6" s="473">
        <v>243651.72</v>
      </c>
      <c r="H6" s="474">
        <f t="shared" si="0"/>
        <v>2217.2200000000012</v>
      </c>
      <c r="I6" s="486"/>
      <c r="J6" s="83" t="str">
        <f t="shared" si="1"/>
        <v>----</v>
      </c>
    </row>
    <row r="7" spans="1:10">
      <c r="A7" s="88">
        <v>45097</v>
      </c>
      <c r="B7" s="101" t="s">
        <v>651</v>
      </c>
      <c r="C7" s="82">
        <v>470735</v>
      </c>
      <c r="D7" s="433">
        <f>C7</f>
        <v>470735</v>
      </c>
      <c r="E7" s="473"/>
      <c r="F7" s="474" t="str">
        <f t="shared" si="2"/>
        <v>----</v>
      </c>
      <c r="G7" s="473"/>
      <c r="H7" s="474" t="str">
        <f t="shared" si="0"/>
        <v>----</v>
      </c>
      <c r="I7" s="486">
        <v>493653.8</v>
      </c>
      <c r="J7" s="83">
        <f t="shared" si="1"/>
        <v>22918.799999999988</v>
      </c>
    </row>
    <row r="8" spans="1:10">
      <c r="A8" s="395">
        <v>45251</v>
      </c>
      <c r="B8" s="396" t="s">
        <v>676</v>
      </c>
      <c r="C8" s="394">
        <v>434062.5</v>
      </c>
      <c r="D8" s="433">
        <f>C8</f>
        <v>434062.5</v>
      </c>
      <c r="E8" s="473"/>
      <c r="F8" s="474" t="str">
        <f t="shared" si="2"/>
        <v>----</v>
      </c>
      <c r="G8" s="473"/>
      <c r="H8" s="474" t="str">
        <f t="shared" si="0"/>
        <v>----</v>
      </c>
      <c r="I8" s="486"/>
      <c r="J8" s="83" t="str">
        <f t="shared" si="1"/>
        <v>----</v>
      </c>
    </row>
    <row r="9" spans="1:10">
      <c r="A9" s="88"/>
      <c r="B9" s="101"/>
      <c r="C9" s="82"/>
      <c r="D9" s="433"/>
      <c r="E9" s="473"/>
      <c r="F9" s="474" t="str">
        <f t="shared" si="2"/>
        <v>----</v>
      </c>
      <c r="G9" s="473"/>
      <c r="H9" s="474" t="str">
        <f t="shared" si="0"/>
        <v>----</v>
      </c>
      <c r="I9" s="486"/>
      <c r="J9" s="83" t="str">
        <f t="shared" si="1"/>
        <v>----</v>
      </c>
    </row>
    <row r="10" spans="1:10">
      <c r="A10" s="88"/>
      <c r="B10" s="101"/>
      <c r="C10" s="82"/>
      <c r="D10" s="433"/>
      <c r="E10" s="473"/>
      <c r="F10" s="474" t="str">
        <f t="shared" si="2"/>
        <v>----</v>
      </c>
      <c r="G10" s="473"/>
      <c r="H10" s="474" t="str">
        <f t="shared" si="0"/>
        <v>----</v>
      </c>
      <c r="I10" s="486"/>
      <c r="J10" s="83" t="str">
        <f t="shared" si="1"/>
        <v>----</v>
      </c>
    </row>
    <row r="11" spans="1:10">
      <c r="A11" s="88"/>
      <c r="B11" s="101"/>
      <c r="C11" s="82"/>
      <c r="D11" s="433"/>
      <c r="E11" s="473"/>
      <c r="F11" s="474" t="str">
        <f t="shared" si="2"/>
        <v>----</v>
      </c>
      <c r="G11" s="473"/>
      <c r="H11" s="474" t="str">
        <f t="shared" si="0"/>
        <v>----</v>
      </c>
      <c r="I11" s="486"/>
      <c r="J11" s="83" t="str">
        <f t="shared" si="1"/>
        <v>----</v>
      </c>
    </row>
    <row r="12" spans="1:10">
      <c r="A12" s="88"/>
      <c r="B12" s="101"/>
      <c r="C12" s="82"/>
      <c r="D12" s="433"/>
      <c r="E12" s="473"/>
      <c r="F12" s="474" t="str">
        <f t="shared" si="2"/>
        <v>----</v>
      </c>
      <c r="G12" s="473"/>
      <c r="H12" s="474" t="str">
        <f t="shared" si="0"/>
        <v>----</v>
      </c>
      <c r="I12" s="486"/>
      <c r="J12" s="83" t="str">
        <f t="shared" si="1"/>
        <v>----</v>
      </c>
    </row>
    <row r="13" spans="1:10">
      <c r="A13" s="88"/>
      <c r="B13" s="101"/>
      <c r="C13" s="82"/>
      <c r="D13" s="433"/>
      <c r="E13" s="473"/>
      <c r="F13" s="474" t="str">
        <f t="shared" si="2"/>
        <v>----</v>
      </c>
      <c r="G13" s="473"/>
      <c r="H13" s="474" t="str">
        <f t="shared" si="0"/>
        <v>----</v>
      </c>
      <c r="I13" s="486"/>
      <c r="J13" s="83" t="str">
        <f t="shared" si="1"/>
        <v>----</v>
      </c>
    </row>
    <row r="14" spans="1:10">
      <c r="A14" s="88"/>
      <c r="B14" s="101"/>
      <c r="C14" s="82"/>
      <c r="D14" s="433"/>
      <c r="E14" s="473"/>
      <c r="F14" s="474" t="str">
        <f t="shared" si="2"/>
        <v>----</v>
      </c>
      <c r="G14" s="473"/>
      <c r="H14" s="474" t="str">
        <f t="shared" si="0"/>
        <v>----</v>
      </c>
      <c r="I14" s="486"/>
      <c r="J14" s="83" t="str">
        <f t="shared" si="1"/>
        <v>----</v>
      </c>
    </row>
    <row r="15" spans="1:10">
      <c r="A15" s="88"/>
      <c r="B15" s="101"/>
      <c r="C15" s="82"/>
      <c r="D15" s="433"/>
      <c r="E15" s="473"/>
      <c r="F15" s="474" t="str">
        <f t="shared" si="2"/>
        <v>----</v>
      </c>
      <c r="G15" s="473"/>
      <c r="H15" s="474" t="str">
        <f t="shared" si="0"/>
        <v>----</v>
      </c>
      <c r="I15" s="486"/>
      <c r="J15" s="83" t="str">
        <f t="shared" si="1"/>
        <v>----</v>
      </c>
    </row>
    <row r="16" spans="1:10">
      <c r="A16" s="88"/>
      <c r="B16" s="101"/>
      <c r="C16" s="82"/>
      <c r="D16" s="433"/>
      <c r="E16" s="473"/>
      <c r="F16" s="474" t="str">
        <f t="shared" si="2"/>
        <v>----</v>
      </c>
      <c r="G16" s="473"/>
      <c r="H16" s="474" t="str">
        <f t="shared" si="0"/>
        <v>----</v>
      </c>
      <c r="I16" s="486"/>
      <c r="J16" s="83" t="str">
        <f t="shared" si="1"/>
        <v>----</v>
      </c>
    </row>
    <row r="17" spans="1:10">
      <c r="A17" s="88"/>
      <c r="B17" s="101"/>
      <c r="C17" s="82"/>
      <c r="D17" s="433"/>
      <c r="E17" s="473"/>
      <c r="F17" s="474" t="str">
        <f t="shared" si="2"/>
        <v>----</v>
      </c>
      <c r="G17" s="473"/>
      <c r="H17" s="474" t="str">
        <f t="shared" si="0"/>
        <v>----</v>
      </c>
      <c r="I17" s="486"/>
      <c r="J17" s="83" t="str">
        <f t="shared" si="1"/>
        <v>----</v>
      </c>
    </row>
    <row r="18" spans="1:10">
      <c r="A18" s="88"/>
      <c r="B18" s="101"/>
      <c r="C18" s="82"/>
      <c r="D18" s="433"/>
      <c r="E18" s="473"/>
      <c r="F18" s="474" t="str">
        <f t="shared" si="2"/>
        <v>----</v>
      </c>
      <c r="G18" s="473"/>
      <c r="H18" s="474" t="str">
        <f t="shared" si="0"/>
        <v>----</v>
      </c>
      <c r="I18" s="486"/>
      <c r="J18" s="83" t="str">
        <f t="shared" si="1"/>
        <v>----</v>
      </c>
    </row>
    <row r="19" spans="1:10">
      <c r="A19" s="88"/>
      <c r="B19" s="101"/>
      <c r="C19" s="82"/>
      <c r="D19" s="433"/>
      <c r="E19" s="473"/>
      <c r="F19" s="474" t="str">
        <f t="shared" si="2"/>
        <v>----</v>
      </c>
      <c r="G19" s="473"/>
      <c r="H19" s="474" t="str">
        <f t="shared" si="0"/>
        <v>----</v>
      </c>
      <c r="I19" s="486"/>
      <c r="J19" s="83" t="str">
        <f t="shared" si="1"/>
        <v>----</v>
      </c>
    </row>
    <row r="20" spans="1:10">
      <c r="A20" s="88"/>
      <c r="B20" s="101"/>
      <c r="C20" s="82"/>
      <c r="D20" s="433"/>
      <c r="E20" s="473"/>
      <c r="F20" s="474" t="str">
        <f t="shared" si="2"/>
        <v>----</v>
      </c>
      <c r="G20" s="473"/>
      <c r="H20" s="474" t="str">
        <f t="shared" si="0"/>
        <v>----</v>
      </c>
      <c r="I20" s="486"/>
      <c r="J20" s="83" t="str">
        <f t="shared" si="1"/>
        <v>----</v>
      </c>
    </row>
    <row r="21" spans="1:10">
      <c r="A21" s="91"/>
      <c r="B21" s="92"/>
      <c r="C21" s="84"/>
      <c r="D21" s="479"/>
      <c r="E21" s="484"/>
      <c r="F21" s="485" t="str">
        <f t="shared" si="2"/>
        <v>----</v>
      </c>
      <c r="G21" s="484"/>
      <c r="H21" s="485" t="str">
        <f t="shared" si="0"/>
        <v>----</v>
      </c>
      <c r="I21" s="482"/>
      <c r="J21" s="85" t="str">
        <f t="shared" si="1"/>
        <v>----</v>
      </c>
    </row>
    <row r="22" spans="1:10" ht="15.75" thickBot="1">
      <c r="A22" s="74"/>
      <c r="B22" s="75"/>
      <c r="C22" s="76"/>
      <c r="D22" s="432"/>
      <c r="E22" s="477"/>
      <c r="F22" s="478" t="str">
        <f t="shared" si="2"/>
        <v>----</v>
      </c>
      <c r="G22" s="477"/>
      <c r="H22" s="478" t="str">
        <f t="shared" si="0"/>
        <v>----</v>
      </c>
      <c r="I22" s="483"/>
      <c r="J22" s="77" t="str">
        <f t="shared" si="1"/>
        <v>----</v>
      </c>
    </row>
    <row r="23" spans="1:10" ht="15.75" thickBot="1">
      <c r="A23" s="27"/>
      <c r="B23" s="27"/>
      <c r="C23" s="28"/>
      <c r="D23" s="28"/>
      <c r="E23" s="441"/>
      <c r="F23" s="443">
        <f>SUM(F4:F22)</f>
        <v>34240.499999999971</v>
      </c>
      <c r="G23" s="441"/>
      <c r="H23" s="443">
        <f>SUM(H4:H22)</f>
        <v>2217.2200000000012</v>
      </c>
      <c r="I23" s="28"/>
      <c r="J23" s="69">
        <f>SUM(J4:J22)</f>
        <v>22918.799999999988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4" bestFit="1" customWidth="1"/>
    <col min="6" max="6" width="12.85546875" style="434" customWidth="1"/>
    <col min="7" max="7" width="10.7109375" style="434" bestFit="1" customWidth="1"/>
    <col min="8" max="8" width="12.85546875" style="434" customWidth="1"/>
    <col min="9" max="9" width="10.7109375" bestFit="1" customWidth="1"/>
    <col min="10" max="10" width="12.85546875" customWidth="1"/>
  </cols>
  <sheetData>
    <row r="1" spans="1:10" ht="15.75" thickBot="1">
      <c r="A1" s="958" t="s">
        <v>231</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43942</v>
      </c>
      <c r="B4" s="71" t="s">
        <v>503</v>
      </c>
      <c r="C4" s="787">
        <v>374869.85</v>
      </c>
      <c r="D4" s="793">
        <f t="shared" ref="D4:D11" si="0">C4</f>
        <v>374869.85</v>
      </c>
      <c r="E4" s="800">
        <v>323487.43</v>
      </c>
      <c r="F4" s="809">
        <f>IF(ISBLANK(E4),"----",E4-$D4)</f>
        <v>-51382.419999999984</v>
      </c>
      <c r="G4" s="800" t="s">
        <v>703</v>
      </c>
      <c r="H4" s="809" t="str">
        <f t="shared" ref="H4:H27" si="1">IF(OR(G4="Complete",ISBLANK(G4)),"----",G4-$D4)</f>
        <v>----</v>
      </c>
      <c r="I4" s="797" t="s">
        <v>703</v>
      </c>
      <c r="J4" s="810" t="str">
        <f t="shared" ref="J4:J27" si="2">IF(OR(I4="Complete",ISBLANK(I4)),"----",I4-$D4)</f>
        <v>----</v>
      </c>
    </row>
    <row r="5" spans="1:10">
      <c r="A5" s="88">
        <v>44635</v>
      </c>
      <c r="B5" s="101" t="s">
        <v>502</v>
      </c>
      <c r="C5" s="790">
        <v>696218</v>
      </c>
      <c r="D5" s="794">
        <f t="shared" si="0"/>
        <v>696218</v>
      </c>
      <c r="E5" s="801">
        <v>672789.05</v>
      </c>
      <c r="F5" s="813">
        <f t="shared" ref="F5:F27" si="3">IF(ISBLANK(E5),"----",E5-$D5)</f>
        <v>-23428.949999999953</v>
      </c>
      <c r="G5" s="801" t="s">
        <v>703</v>
      </c>
      <c r="H5" s="813" t="str">
        <f t="shared" si="1"/>
        <v>----</v>
      </c>
      <c r="I5" s="798" t="s">
        <v>703</v>
      </c>
      <c r="J5" s="814" t="str">
        <f t="shared" si="2"/>
        <v>----</v>
      </c>
    </row>
    <row r="6" spans="1:10">
      <c r="A6" s="102">
        <v>45308</v>
      </c>
      <c r="B6" s="103" t="s">
        <v>717</v>
      </c>
      <c r="C6" s="776">
        <v>219642.95</v>
      </c>
      <c r="D6" s="735">
        <f t="shared" si="0"/>
        <v>219642.95</v>
      </c>
      <c r="E6" s="745"/>
      <c r="F6" s="777" t="str">
        <f t="shared" si="3"/>
        <v>----</v>
      </c>
      <c r="G6" s="745"/>
      <c r="H6" s="777" t="str">
        <f t="shared" si="1"/>
        <v>----</v>
      </c>
      <c r="I6" s="740"/>
      <c r="J6" s="778" t="str">
        <f t="shared" si="2"/>
        <v>----</v>
      </c>
    </row>
    <row r="7" spans="1:10">
      <c r="A7" s="102">
        <v>45308</v>
      </c>
      <c r="B7" s="103" t="s">
        <v>718</v>
      </c>
      <c r="C7" s="776">
        <v>210677.75</v>
      </c>
      <c r="D7" s="735">
        <f t="shared" si="0"/>
        <v>210677.75</v>
      </c>
      <c r="E7" s="745"/>
      <c r="F7" s="777" t="str">
        <f t="shared" si="3"/>
        <v>----</v>
      </c>
      <c r="G7" s="745"/>
      <c r="H7" s="777" t="str">
        <f t="shared" si="1"/>
        <v>----</v>
      </c>
      <c r="I7" s="740"/>
      <c r="J7" s="778" t="str">
        <f t="shared" si="2"/>
        <v>----</v>
      </c>
    </row>
    <row r="8" spans="1:10">
      <c r="A8" s="102">
        <v>45308</v>
      </c>
      <c r="B8" s="103" t="s">
        <v>719</v>
      </c>
      <c r="C8" s="776">
        <v>269286.05</v>
      </c>
      <c r="D8" s="735">
        <f t="shared" si="0"/>
        <v>269286.05</v>
      </c>
      <c r="E8" s="745"/>
      <c r="F8" s="777" t="str">
        <f t="shared" si="3"/>
        <v>----</v>
      </c>
      <c r="G8" s="745"/>
      <c r="H8" s="777" t="str">
        <f t="shared" si="1"/>
        <v>----</v>
      </c>
      <c r="I8" s="740"/>
      <c r="J8" s="778" t="str">
        <f t="shared" si="2"/>
        <v>----</v>
      </c>
    </row>
    <row r="9" spans="1:10">
      <c r="A9" s="976">
        <v>45679</v>
      </c>
      <c r="B9" s="727" t="s">
        <v>824</v>
      </c>
      <c r="C9" s="776">
        <v>286818.99</v>
      </c>
      <c r="D9" s="735">
        <f t="shared" si="0"/>
        <v>286818.99</v>
      </c>
      <c r="E9" s="745"/>
      <c r="F9" s="777" t="str">
        <f t="shared" si="3"/>
        <v>----</v>
      </c>
      <c r="G9" s="745"/>
      <c r="H9" s="777" t="str">
        <f t="shared" si="1"/>
        <v>----</v>
      </c>
      <c r="I9" s="740"/>
      <c r="J9" s="778" t="str">
        <f t="shared" si="2"/>
        <v>----</v>
      </c>
    </row>
    <row r="10" spans="1:10">
      <c r="A10" s="977"/>
      <c r="B10" s="727" t="s">
        <v>825</v>
      </c>
      <c r="C10" s="776">
        <v>313955.90000000002</v>
      </c>
      <c r="D10" s="735">
        <f t="shared" si="0"/>
        <v>313955.90000000002</v>
      </c>
      <c r="E10" s="745"/>
      <c r="F10" s="777" t="str">
        <f t="shared" si="3"/>
        <v>----</v>
      </c>
      <c r="G10" s="745"/>
      <c r="H10" s="777" t="str">
        <f t="shared" si="1"/>
        <v>----</v>
      </c>
      <c r="I10" s="740"/>
      <c r="J10" s="778" t="str">
        <f t="shared" si="2"/>
        <v>----</v>
      </c>
    </row>
    <row r="11" spans="1:10">
      <c r="A11" s="978"/>
      <c r="B11" s="727" t="s">
        <v>826</v>
      </c>
      <c r="C11" s="776">
        <v>277552.03999999998</v>
      </c>
      <c r="D11" s="735">
        <f t="shared" si="0"/>
        <v>277552.03999999998</v>
      </c>
      <c r="E11" s="745"/>
      <c r="F11" s="777" t="str">
        <f t="shared" si="3"/>
        <v>----</v>
      </c>
      <c r="G11" s="745"/>
      <c r="H11" s="777" t="str">
        <f t="shared" si="1"/>
        <v>----</v>
      </c>
      <c r="I11" s="740"/>
      <c r="J11" s="778" t="str">
        <f t="shared" si="2"/>
        <v>----</v>
      </c>
    </row>
    <row r="12" spans="1:10">
      <c r="A12" s="102">
        <v>45706</v>
      </c>
      <c r="B12" s="727" t="s">
        <v>837</v>
      </c>
      <c r="C12" s="776">
        <v>449198.75</v>
      </c>
      <c r="D12" s="735">
        <f>C12</f>
        <v>449198.75</v>
      </c>
      <c r="E12" s="745"/>
      <c r="F12" s="777" t="str">
        <f t="shared" si="3"/>
        <v>----</v>
      </c>
      <c r="G12" s="745"/>
      <c r="H12" s="777" t="str">
        <f t="shared" si="1"/>
        <v>----</v>
      </c>
      <c r="I12" s="740"/>
      <c r="J12" s="778" t="str">
        <f t="shared" si="2"/>
        <v>----</v>
      </c>
    </row>
    <row r="13" spans="1:10">
      <c r="A13" s="102"/>
      <c r="B13" s="103"/>
      <c r="C13" s="776"/>
      <c r="D13" s="735"/>
      <c r="E13" s="745"/>
      <c r="F13" s="777" t="str">
        <f t="shared" si="3"/>
        <v>----</v>
      </c>
      <c r="G13" s="745"/>
      <c r="H13" s="777" t="str">
        <f t="shared" si="1"/>
        <v>----</v>
      </c>
      <c r="I13" s="740"/>
      <c r="J13" s="778" t="str">
        <f t="shared" si="2"/>
        <v>----</v>
      </c>
    </row>
    <row r="14" spans="1:10">
      <c r="A14" s="102"/>
      <c r="B14" s="103"/>
      <c r="C14" s="776"/>
      <c r="D14" s="735"/>
      <c r="E14" s="745"/>
      <c r="F14" s="777" t="str">
        <f t="shared" si="3"/>
        <v>----</v>
      </c>
      <c r="G14" s="745"/>
      <c r="H14" s="777" t="str">
        <f t="shared" si="1"/>
        <v>----</v>
      </c>
      <c r="I14" s="740"/>
      <c r="J14" s="778" t="str">
        <f t="shared" si="2"/>
        <v>----</v>
      </c>
    </row>
    <row r="15" spans="1:10">
      <c r="A15" s="102"/>
      <c r="B15" s="103"/>
      <c r="C15" s="776"/>
      <c r="D15" s="735"/>
      <c r="E15" s="745"/>
      <c r="F15" s="777" t="str">
        <f t="shared" si="3"/>
        <v>----</v>
      </c>
      <c r="G15" s="745"/>
      <c r="H15" s="777" t="str">
        <f t="shared" si="1"/>
        <v>----</v>
      </c>
      <c r="I15" s="740"/>
      <c r="J15" s="778" t="str">
        <f t="shared" si="2"/>
        <v>----</v>
      </c>
    </row>
    <row r="16" spans="1:10">
      <c r="A16" s="102"/>
      <c r="B16" s="103"/>
      <c r="C16" s="776"/>
      <c r="D16" s="735"/>
      <c r="E16" s="745"/>
      <c r="F16" s="777" t="str">
        <f t="shared" si="3"/>
        <v>----</v>
      </c>
      <c r="G16" s="745"/>
      <c r="H16" s="777" t="str">
        <f t="shared" si="1"/>
        <v>----</v>
      </c>
      <c r="I16" s="740"/>
      <c r="J16" s="778" t="str">
        <f t="shared" si="2"/>
        <v>----</v>
      </c>
    </row>
    <row r="17" spans="1:10">
      <c r="A17" s="102"/>
      <c r="B17" s="103"/>
      <c r="C17" s="776"/>
      <c r="D17" s="735"/>
      <c r="E17" s="745"/>
      <c r="F17" s="777" t="str">
        <f t="shared" si="3"/>
        <v>----</v>
      </c>
      <c r="G17" s="745"/>
      <c r="H17" s="777" t="str">
        <f t="shared" si="1"/>
        <v>----</v>
      </c>
      <c r="I17" s="740"/>
      <c r="J17" s="778" t="str">
        <f t="shared" si="2"/>
        <v>----</v>
      </c>
    </row>
    <row r="18" spans="1:10">
      <c r="A18" s="102"/>
      <c r="B18" s="103"/>
      <c r="C18" s="776"/>
      <c r="D18" s="735"/>
      <c r="E18" s="745"/>
      <c r="F18" s="777" t="str">
        <f t="shared" si="3"/>
        <v>----</v>
      </c>
      <c r="G18" s="745"/>
      <c r="H18" s="777" t="str">
        <f t="shared" si="1"/>
        <v>----</v>
      </c>
      <c r="I18" s="740"/>
      <c r="J18" s="778" t="str">
        <f t="shared" si="2"/>
        <v>----</v>
      </c>
    </row>
    <row r="19" spans="1:10">
      <c r="A19" s="102"/>
      <c r="B19" s="103"/>
      <c r="C19" s="776"/>
      <c r="D19" s="735"/>
      <c r="E19" s="745"/>
      <c r="F19" s="777" t="str">
        <f t="shared" si="3"/>
        <v>----</v>
      </c>
      <c r="G19" s="745"/>
      <c r="H19" s="777" t="str">
        <f t="shared" si="1"/>
        <v>----</v>
      </c>
      <c r="I19" s="740"/>
      <c r="J19" s="778" t="str">
        <f t="shared" si="2"/>
        <v>----</v>
      </c>
    </row>
    <row r="20" spans="1:10">
      <c r="A20" s="102"/>
      <c r="B20" s="103"/>
      <c r="C20" s="776"/>
      <c r="D20" s="735"/>
      <c r="E20" s="745"/>
      <c r="F20" s="777" t="str">
        <f t="shared" si="3"/>
        <v>----</v>
      </c>
      <c r="G20" s="745"/>
      <c r="H20" s="777" t="str">
        <f t="shared" si="1"/>
        <v>----</v>
      </c>
      <c r="I20" s="740"/>
      <c r="J20" s="778" t="str">
        <f t="shared" si="2"/>
        <v>----</v>
      </c>
    </row>
    <row r="21" spans="1:10">
      <c r="A21" s="102"/>
      <c r="B21" s="103"/>
      <c r="C21" s="776"/>
      <c r="D21" s="735"/>
      <c r="E21" s="745"/>
      <c r="F21" s="777" t="str">
        <f t="shared" si="3"/>
        <v>----</v>
      </c>
      <c r="G21" s="745"/>
      <c r="H21" s="777" t="str">
        <f t="shared" si="1"/>
        <v>----</v>
      </c>
      <c r="I21" s="740"/>
      <c r="J21" s="778" t="str">
        <f t="shared" si="2"/>
        <v>----</v>
      </c>
    </row>
    <row r="22" spans="1:10">
      <c r="A22" s="102"/>
      <c r="B22" s="103"/>
      <c r="C22" s="776"/>
      <c r="D22" s="735"/>
      <c r="E22" s="745"/>
      <c r="F22" s="777" t="str">
        <f t="shared" si="3"/>
        <v>----</v>
      </c>
      <c r="G22" s="745"/>
      <c r="H22" s="777" t="str">
        <f t="shared" si="1"/>
        <v>----</v>
      </c>
      <c r="I22" s="740"/>
      <c r="J22" s="778" t="str">
        <f t="shared" si="2"/>
        <v>----</v>
      </c>
    </row>
    <row r="23" spans="1:10">
      <c r="A23" s="102"/>
      <c r="B23" s="103"/>
      <c r="C23" s="776"/>
      <c r="D23" s="735"/>
      <c r="E23" s="745"/>
      <c r="F23" s="777" t="str">
        <f t="shared" si="3"/>
        <v>----</v>
      </c>
      <c r="G23" s="745"/>
      <c r="H23" s="777" t="str">
        <f t="shared" si="1"/>
        <v>----</v>
      </c>
      <c r="I23" s="740"/>
      <c r="J23" s="778" t="str">
        <f t="shared" si="2"/>
        <v>----</v>
      </c>
    </row>
    <row r="24" spans="1:10">
      <c r="A24" s="102"/>
      <c r="B24" s="103"/>
      <c r="C24" s="776"/>
      <c r="D24" s="735"/>
      <c r="E24" s="745"/>
      <c r="F24" s="777" t="str">
        <f t="shared" si="3"/>
        <v>----</v>
      </c>
      <c r="G24" s="745"/>
      <c r="H24" s="777" t="str">
        <f t="shared" si="1"/>
        <v>----</v>
      </c>
      <c r="I24" s="740"/>
      <c r="J24" s="778" t="str">
        <f t="shared" si="2"/>
        <v>----</v>
      </c>
    </row>
    <row r="25" spans="1:10">
      <c r="A25" s="102"/>
      <c r="B25" s="103"/>
      <c r="C25" s="776"/>
      <c r="D25" s="735"/>
      <c r="E25" s="745"/>
      <c r="F25" s="777" t="str">
        <f t="shared" si="3"/>
        <v>----</v>
      </c>
      <c r="G25" s="745"/>
      <c r="H25" s="777" t="str">
        <f t="shared" si="1"/>
        <v>----</v>
      </c>
      <c r="I25" s="740"/>
      <c r="J25" s="778" t="str">
        <f t="shared" si="2"/>
        <v>----</v>
      </c>
    </row>
    <row r="26" spans="1:10">
      <c r="A26" s="116"/>
      <c r="B26" s="117"/>
      <c r="C26" s="779"/>
      <c r="D26" s="795"/>
      <c r="E26" s="746"/>
      <c r="F26" s="780" t="str">
        <f t="shared" si="3"/>
        <v>----</v>
      </c>
      <c r="G26" s="746"/>
      <c r="H26" s="780" t="str">
        <f t="shared" si="1"/>
        <v>----</v>
      </c>
      <c r="I26" s="741"/>
      <c r="J26" s="781" t="str">
        <f t="shared" si="2"/>
        <v>----</v>
      </c>
    </row>
    <row r="27" spans="1:10" ht="15.75" thickBot="1">
      <c r="A27" s="74"/>
      <c r="B27" s="75"/>
      <c r="C27" s="789"/>
      <c r="D27" s="796"/>
      <c r="E27" s="802"/>
      <c r="F27" s="807" t="str">
        <f t="shared" si="3"/>
        <v>----</v>
      </c>
      <c r="G27" s="802"/>
      <c r="H27" s="807" t="str">
        <f t="shared" si="1"/>
        <v>----</v>
      </c>
      <c r="I27" s="799"/>
      <c r="J27" s="808" t="str">
        <f t="shared" si="2"/>
        <v>----</v>
      </c>
    </row>
    <row r="28" spans="1:10" ht="15.75" thickBot="1">
      <c r="A28" s="27"/>
      <c r="B28" s="27"/>
      <c r="C28" s="820"/>
      <c r="D28" s="820"/>
      <c r="E28" s="820"/>
      <c r="F28" s="821">
        <f>SUM(F4:F27)</f>
        <v>-74811.369999999937</v>
      </c>
      <c r="G28" s="820"/>
      <c r="H28" s="821">
        <f>SUM(H4:H27)</f>
        <v>0</v>
      </c>
      <c r="I28" s="820"/>
      <c r="J28" s="821">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D10" sqref="D10"/>
    </sheetView>
  </sheetViews>
  <sheetFormatPr defaultRowHeight="15"/>
  <cols>
    <col min="2" max="2" width="22.8554687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1" ht="15.75" thickBot="1">
      <c r="A1" s="958" t="s">
        <v>264</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70">
        <v>44124</v>
      </c>
      <c r="B4" s="71" t="s">
        <v>314</v>
      </c>
      <c r="C4" s="72">
        <v>557106.05000000005</v>
      </c>
      <c r="D4" s="431">
        <f>C4</f>
        <v>557106.05000000005</v>
      </c>
      <c r="E4" s="471">
        <v>549318.63</v>
      </c>
      <c r="F4" s="472">
        <f>IF(ISBLANK(E4),"----",E4-$D4)</f>
        <v>-7787.4200000000419</v>
      </c>
      <c r="G4" s="471" t="s">
        <v>703</v>
      </c>
      <c r="H4" s="472" t="str">
        <f t="shared" ref="H4:H24" si="0">IF(OR(G4="Complete",ISBLANK(G4)),"----",G4-$D4)</f>
        <v>----</v>
      </c>
      <c r="I4" s="481" t="s">
        <v>703</v>
      </c>
      <c r="J4" s="73" t="str">
        <f t="shared" ref="J4:J24" si="1">IF(OR(I4="Complete",ISBLANK(I4)),"----",I4-$D4)</f>
        <v>----</v>
      </c>
    </row>
    <row r="5" spans="1:11">
      <c r="A5" s="88">
        <v>44153</v>
      </c>
      <c r="B5" s="101" t="s">
        <v>331</v>
      </c>
      <c r="C5" s="82">
        <v>569928.39</v>
      </c>
      <c r="D5" s="433">
        <f>C5</f>
        <v>569928.39</v>
      </c>
      <c r="E5" s="473">
        <v>566691.59</v>
      </c>
      <c r="F5" s="474">
        <f t="shared" ref="F5:F24" si="2">IF(ISBLANK(E5),"----",E5-$D5)</f>
        <v>-3236.8000000000466</v>
      </c>
      <c r="G5" s="473" t="s">
        <v>703</v>
      </c>
      <c r="H5" s="474" t="str">
        <f t="shared" si="0"/>
        <v>----</v>
      </c>
      <c r="I5" s="486" t="s">
        <v>703</v>
      </c>
      <c r="J5" s="83" t="str">
        <f t="shared" si="1"/>
        <v>----</v>
      </c>
    </row>
    <row r="6" spans="1:11">
      <c r="A6" s="102">
        <v>44516</v>
      </c>
      <c r="B6" s="103" t="s">
        <v>464</v>
      </c>
      <c r="C6" s="87">
        <v>858677.35</v>
      </c>
      <c r="D6" s="468">
        <f>C6</f>
        <v>858677.35</v>
      </c>
      <c r="E6" s="475"/>
      <c r="F6" s="487" t="str">
        <f t="shared" si="2"/>
        <v>----</v>
      </c>
      <c r="G6" s="475">
        <v>849466.78</v>
      </c>
      <c r="H6" s="487">
        <f t="shared" si="0"/>
        <v>-9210.5699999999488</v>
      </c>
      <c r="I6" s="488" t="s">
        <v>703</v>
      </c>
      <c r="J6" s="115" t="str">
        <f t="shared" si="1"/>
        <v>----</v>
      </c>
    </row>
    <row r="7" spans="1:11">
      <c r="A7" s="102">
        <v>44880</v>
      </c>
      <c r="B7" s="103" t="s">
        <v>591</v>
      </c>
      <c r="C7" s="87">
        <v>649706.69999999995</v>
      </c>
      <c r="D7" s="468">
        <f>C7</f>
        <v>649706.69999999995</v>
      </c>
      <c r="E7" s="475"/>
      <c r="F7" s="487" t="str">
        <f t="shared" si="2"/>
        <v>----</v>
      </c>
      <c r="G7" s="475"/>
      <c r="H7" s="487" t="str">
        <f t="shared" si="0"/>
        <v>----</v>
      </c>
      <c r="I7" s="488"/>
      <c r="J7" s="115" t="str">
        <f t="shared" si="1"/>
        <v>----</v>
      </c>
    </row>
    <row r="8" spans="1:11">
      <c r="A8" s="102">
        <v>45308</v>
      </c>
      <c r="B8" s="103" t="s">
        <v>708</v>
      </c>
      <c r="C8" s="87">
        <v>684652.45</v>
      </c>
      <c r="D8" s="468">
        <v>0</v>
      </c>
      <c r="E8" s="475"/>
      <c r="F8" s="487" t="str">
        <f t="shared" si="2"/>
        <v>----</v>
      </c>
      <c r="G8" s="475"/>
      <c r="H8" s="487" t="str">
        <f t="shared" si="0"/>
        <v>----</v>
      </c>
      <c r="I8" s="488"/>
      <c r="J8" s="115" t="str">
        <f t="shared" si="1"/>
        <v>----</v>
      </c>
      <c r="K8" t="s">
        <v>709</v>
      </c>
    </row>
    <row r="9" spans="1:11">
      <c r="A9" s="102">
        <v>45888</v>
      </c>
      <c r="B9" s="727" t="s">
        <v>895</v>
      </c>
      <c r="C9" s="599">
        <v>679924.15</v>
      </c>
      <c r="D9" s="600">
        <f>C9</f>
        <v>679924.15</v>
      </c>
      <c r="E9" s="475"/>
      <c r="F9" s="487" t="str">
        <f t="shared" si="2"/>
        <v>----</v>
      </c>
      <c r="G9" s="475"/>
      <c r="H9" s="487" t="str">
        <f t="shared" si="0"/>
        <v>----</v>
      </c>
      <c r="I9" s="488"/>
      <c r="J9" s="115" t="str">
        <f t="shared" si="1"/>
        <v>----</v>
      </c>
    </row>
    <row r="10" spans="1:11">
      <c r="A10" s="102"/>
      <c r="B10" s="103"/>
      <c r="C10" s="87"/>
      <c r="D10" s="468"/>
      <c r="E10" s="475"/>
      <c r="F10" s="487" t="str">
        <f t="shared" si="2"/>
        <v>----</v>
      </c>
      <c r="G10" s="475"/>
      <c r="H10" s="487" t="str">
        <f t="shared" si="0"/>
        <v>----</v>
      </c>
      <c r="I10" s="488"/>
      <c r="J10" s="115" t="str">
        <f t="shared" si="1"/>
        <v>----</v>
      </c>
    </row>
    <row r="11" spans="1:11">
      <c r="A11" s="102"/>
      <c r="B11" s="103"/>
      <c r="C11" s="87"/>
      <c r="D11" s="468"/>
      <c r="E11" s="475"/>
      <c r="F11" s="487" t="str">
        <f t="shared" si="2"/>
        <v>----</v>
      </c>
      <c r="G11" s="475"/>
      <c r="H11" s="487" t="str">
        <f t="shared" si="0"/>
        <v>----</v>
      </c>
      <c r="I11" s="488"/>
      <c r="J11" s="115" t="str">
        <f t="shared" si="1"/>
        <v>----</v>
      </c>
    </row>
    <row r="12" spans="1:11">
      <c r="A12" s="102"/>
      <c r="B12" s="103"/>
      <c r="C12" s="87"/>
      <c r="D12" s="468"/>
      <c r="E12" s="475"/>
      <c r="F12" s="487" t="str">
        <f t="shared" si="2"/>
        <v>----</v>
      </c>
      <c r="G12" s="475"/>
      <c r="H12" s="487" t="str">
        <f t="shared" si="0"/>
        <v>----</v>
      </c>
      <c r="I12" s="488"/>
      <c r="J12" s="115" t="str">
        <f t="shared" si="1"/>
        <v>----</v>
      </c>
    </row>
    <row r="13" spans="1:11">
      <c r="A13" s="102"/>
      <c r="B13" s="103"/>
      <c r="C13" s="87"/>
      <c r="D13" s="468"/>
      <c r="E13" s="475"/>
      <c r="F13" s="487" t="str">
        <f t="shared" si="2"/>
        <v>----</v>
      </c>
      <c r="G13" s="475"/>
      <c r="H13" s="487" t="str">
        <f t="shared" si="0"/>
        <v>----</v>
      </c>
      <c r="I13" s="488"/>
      <c r="J13" s="115" t="str">
        <f t="shared" si="1"/>
        <v>----</v>
      </c>
    </row>
    <row r="14" spans="1:11">
      <c r="A14" s="102"/>
      <c r="B14" s="103"/>
      <c r="C14" s="87"/>
      <c r="D14" s="468"/>
      <c r="E14" s="475"/>
      <c r="F14" s="487" t="str">
        <f t="shared" si="2"/>
        <v>----</v>
      </c>
      <c r="G14" s="475"/>
      <c r="H14" s="487" t="str">
        <f t="shared" si="0"/>
        <v>----</v>
      </c>
      <c r="I14" s="488"/>
      <c r="J14" s="115" t="str">
        <f t="shared" si="1"/>
        <v>----</v>
      </c>
    </row>
    <row r="15" spans="1:11">
      <c r="A15" s="102"/>
      <c r="B15" s="103"/>
      <c r="C15" s="87"/>
      <c r="D15" s="468"/>
      <c r="E15" s="475"/>
      <c r="F15" s="487" t="str">
        <f t="shared" si="2"/>
        <v>----</v>
      </c>
      <c r="G15" s="475"/>
      <c r="H15" s="487" t="str">
        <f t="shared" si="0"/>
        <v>----</v>
      </c>
      <c r="I15" s="488"/>
      <c r="J15" s="115" t="str">
        <f t="shared" si="1"/>
        <v>----</v>
      </c>
    </row>
    <row r="16" spans="1:11">
      <c r="A16" s="102"/>
      <c r="B16" s="103"/>
      <c r="C16" s="87"/>
      <c r="D16" s="468"/>
      <c r="E16" s="475"/>
      <c r="F16" s="487" t="str">
        <f t="shared" si="2"/>
        <v>----</v>
      </c>
      <c r="G16" s="475"/>
      <c r="H16" s="487" t="str">
        <f t="shared" si="0"/>
        <v>----</v>
      </c>
      <c r="I16" s="488"/>
      <c r="J16" s="115" t="str">
        <f t="shared" si="1"/>
        <v>----</v>
      </c>
    </row>
    <row r="17" spans="1:10">
      <c r="A17" s="102"/>
      <c r="B17" s="103"/>
      <c r="C17" s="87"/>
      <c r="D17" s="468"/>
      <c r="E17" s="475"/>
      <c r="F17" s="487" t="str">
        <f t="shared" si="2"/>
        <v>----</v>
      </c>
      <c r="G17" s="475"/>
      <c r="H17" s="487" t="str">
        <f t="shared" si="0"/>
        <v>----</v>
      </c>
      <c r="I17" s="488"/>
      <c r="J17" s="115" t="str">
        <f t="shared" si="1"/>
        <v>----</v>
      </c>
    </row>
    <row r="18" spans="1:10">
      <c r="A18" s="102"/>
      <c r="B18" s="103"/>
      <c r="C18" s="87"/>
      <c r="D18" s="468"/>
      <c r="E18" s="475"/>
      <c r="F18" s="487" t="str">
        <f t="shared" si="2"/>
        <v>----</v>
      </c>
      <c r="G18" s="475"/>
      <c r="H18" s="487" t="str">
        <f t="shared" si="0"/>
        <v>----</v>
      </c>
      <c r="I18" s="488"/>
      <c r="J18" s="115" t="str">
        <f t="shared" si="1"/>
        <v>----</v>
      </c>
    </row>
    <row r="19" spans="1:10">
      <c r="A19" s="102"/>
      <c r="B19" s="103"/>
      <c r="C19" s="87"/>
      <c r="D19" s="468"/>
      <c r="E19" s="475"/>
      <c r="F19" s="487" t="str">
        <f t="shared" si="2"/>
        <v>----</v>
      </c>
      <c r="G19" s="475"/>
      <c r="H19" s="487" t="str">
        <f t="shared" si="0"/>
        <v>----</v>
      </c>
      <c r="I19" s="488"/>
      <c r="J19" s="115" t="str">
        <f t="shared" si="1"/>
        <v>----</v>
      </c>
    </row>
    <row r="20" spans="1:10">
      <c r="A20" s="102"/>
      <c r="B20" s="103"/>
      <c r="C20" s="87"/>
      <c r="D20" s="468"/>
      <c r="E20" s="475"/>
      <c r="F20" s="487" t="str">
        <f t="shared" si="2"/>
        <v>----</v>
      </c>
      <c r="G20" s="475"/>
      <c r="H20" s="487" t="str">
        <f t="shared" si="0"/>
        <v>----</v>
      </c>
      <c r="I20" s="488"/>
      <c r="J20" s="115" t="str">
        <f t="shared" si="1"/>
        <v>----</v>
      </c>
    </row>
    <row r="21" spans="1:10">
      <c r="A21" s="102"/>
      <c r="B21" s="103"/>
      <c r="C21" s="87"/>
      <c r="D21" s="468"/>
      <c r="E21" s="475"/>
      <c r="F21" s="487" t="str">
        <f t="shared" si="2"/>
        <v>----</v>
      </c>
      <c r="G21" s="475"/>
      <c r="H21" s="487" t="str">
        <f t="shared" si="0"/>
        <v>----</v>
      </c>
      <c r="I21" s="488"/>
      <c r="J21" s="115" t="str">
        <f t="shared" si="1"/>
        <v>----</v>
      </c>
    </row>
    <row r="22" spans="1:10">
      <c r="A22" s="102"/>
      <c r="B22" s="103"/>
      <c r="C22" s="87"/>
      <c r="D22" s="468"/>
      <c r="E22" s="475"/>
      <c r="F22" s="487" t="str">
        <f t="shared" si="2"/>
        <v>----</v>
      </c>
      <c r="G22" s="475"/>
      <c r="H22" s="487" t="str">
        <f t="shared" si="0"/>
        <v>----</v>
      </c>
      <c r="I22" s="488"/>
      <c r="J22" s="115" t="str">
        <f t="shared" si="1"/>
        <v>----</v>
      </c>
    </row>
    <row r="23" spans="1:10">
      <c r="A23" s="102"/>
      <c r="B23" s="103"/>
      <c r="C23" s="87"/>
      <c r="D23" s="468"/>
      <c r="E23" s="475"/>
      <c r="F23" s="487" t="str">
        <f t="shared" si="2"/>
        <v>----</v>
      </c>
      <c r="G23" s="475"/>
      <c r="H23" s="487" t="str">
        <f t="shared" si="0"/>
        <v>----</v>
      </c>
      <c r="I23" s="488"/>
      <c r="J23" s="115" t="str">
        <f t="shared" si="1"/>
        <v>----</v>
      </c>
    </row>
    <row r="24" spans="1:10" ht="15.75" thickBot="1">
      <c r="A24" s="230"/>
      <c r="B24" s="78"/>
      <c r="C24" s="79"/>
      <c r="D24" s="548"/>
      <c r="E24" s="550"/>
      <c r="F24" s="551" t="str">
        <f t="shared" si="2"/>
        <v>----</v>
      </c>
      <c r="G24" s="550"/>
      <c r="H24" s="551" t="str">
        <f t="shared" si="0"/>
        <v>----</v>
      </c>
      <c r="I24" s="549"/>
      <c r="J24" s="80" t="str">
        <f t="shared" si="1"/>
        <v>----</v>
      </c>
    </row>
    <row r="25" spans="1:10" ht="15.75" thickBot="1">
      <c r="A25" s="27"/>
      <c r="B25" s="27"/>
      <c r="C25" s="28"/>
      <c r="D25" s="28"/>
      <c r="E25" s="441"/>
      <c r="F25" s="443">
        <f>SUM(F4:F24)</f>
        <v>-11024.220000000088</v>
      </c>
      <c r="G25" s="441"/>
      <c r="H25" s="443">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8" sqref="I8"/>
    </sheetView>
  </sheetViews>
  <sheetFormatPr defaultRowHeight="15"/>
  <cols>
    <col min="2" max="2" width="22.85546875" bestFit="1" customWidth="1"/>
    <col min="3" max="4" width="12" bestFit="1" customWidth="1"/>
    <col min="5" max="5" width="10.7109375" style="434" bestFit="1" customWidth="1"/>
    <col min="6" max="6" width="11.5703125" style="434" customWidth="1"/>
    <col min="7" max="7" width="12" style="434" bestFit="1" customWidth="1"/>
    <col min="8" max="8" width="11.5703125" style="434" customWidth="1"/>
    <col min="9" max="9" width="12" bestFit="1" customWidth="1"/>
    <col min="10" max="10" width="11.5703125" customWidth="1"/>
  </cols>
  <sheetData>
    <row r="1" spans="1:10" ht="15.75" thickBot="1">
      <c r="A1" s="958" t="s">
        <v>265</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25" t="s">
        <v>704</v>
      </c>
    </row>
    <row r="4" spans="1:10">
      <c r="A4" s="70">
        <v>44520</v>
      </c>
      <c r="B4" s="71" t="s">
        <v>376</v>
      </c>
      <c r="C4" s="72">
        <v>646553.59999999998</v>
      </c>
      <c r="D4" s="431">
        <f>C4</f>
        <v>646553.59999999998</v>
      </c>
      <c r="E4" s="471">
        <v>645798.68000000005</v>
      </c>
      <c r="F4" s="472">
        <f>IF(ISBLANK(E4),"----",E4-$D4)</f>
        <v>-754.91999999992549</v>
      </c>
      <c r="G4" s="471" t="s">
        <v>703</v>
      </c>
      <c r="H4" s="472" t="str">
        <f t="shared" ref="H4:H17" si="0">IF(OR(G4="Complete",ISBLANK(G4)),"----",G4-$D4)</f>
        <v>----</v>
      </c>
      <c r="I4" s="481" t="s">
        <v>703</v>
      </c>
      <c r="J4" s="73" t="str">
        <f t="shared" ref="J4:J17" si="1">IF(OR(I4="Complete",ISBLANK(I4)),"----",I4-$D4)</f>
        <v>----</v>
      </c>
    </row>
    <row r="5" spans="1:10">
      <c r="A5" s="88">
        <v>44488</v>
      </c>
      <c r="B5" s="101" t="s">
        <v>459</v>
      </c>
      <c r="C5" s="82">
        <v>1199626.81</v>
      </c>
      <c r="D5" s="433">
        <f>C5</f>
        <v>1199626.81</v>
      </c>
      <c r="E5" s="473"/>
      <c r="F5" s="474" t="str">
        <f t="shared" ref="F5:F17" si="2">IF(ISBLANK(E5),"----",E5-$D5)</f>
        <v>----</v>
      </c>
      <c r="G5" s="473">
        <v>1161644.83</v>
      </c>
      <c r="H5" s="474">
        <f t="shared" si="0"/>
        <v>-37981.979999999981</v>
      </c>
      <c r="I5" s="486" t="s">
        <v>703</v>
      </c>
      <c r="J5" s="83" t="str">
        <f t="shared" si="1"/>
        <v>----</v>
      </c>
    </row>
    <row r="6" spans="1:10">
      <c r="A6" s="91">
        <v>44733</v>
      </c>
      <c r="B6" s="92" t="s">
        <v>537</v>
      </c>
      <c r="C6" s="84">
        <v>1595719.15</v>
      </c>
      <c r="D6" s="479">
        <f>C6</f>
        <v>1595719.15</v>
      </c>
      <c r="E6" s="484"/>
      <c r="F6" s="485" t="str">
        <f t="shared" si="2"/>
        <v>----</v>
      </c>
      <c r="G6" s="484"/>
      <c r="H6" s="485" t="str">
        <f t="shared" si="0"/>
        <v>----</v>
      </c>
      <c r="I6" s="482"/>
      <c r="J6" s="85" t="str">
        <f t="shared" si="1"/>
        <v>----</v>
      </c>
    </row>
    <row r="7" spans="1:10">
      <c r="A7" s="88">
        <v>45342</v>
      </c>
      <c r="B7" s="450" t="s">
        <v>729</v>
      </c>
      <c r="C7" s="376">
        <v>144699.20000000001</v>
      </c>
      <c r="D7" s="566">
        <f>C7</f>
        <v>144699.20000000001</v>
      </c>
      <c r="E7" s="473"/>
      <c r="F7" s="474" t="str">
        <f t="shared" si="2"/>
        <v>----</v>
      </c>
      <c r="G7" s="473"/>
      <c r="H7" s="474" t="str">
        <f t="shared" si="0"/>
        <v>----</v>
      </c>
      <c r="I7" s="486">
        <v>172891</v>
      </c>
      <c r="J7" s="83">
        <f t="shared" si="1"/>
        <v>28191.799999999988</v>
      </c>
    </row>
    <row r="8" spans="1:10">
      <c r="A8" s="91"/>
      <c r="B8" s="92"/>
      <c r="C8" s="84"/>
      <c r="D8" s="479"/>
      <c r="E8" s="484"/>
      <c r="F8" s="485" t="str">
        <f t="shared" si="2"/>
        <v>----</v>
      </c>
      <c r="G8" s="484"/>
      <c r="H8" s="485" t="str">
        <f t="shared" si="0"/>
        <v>----</v>
      </c>
      <c r="I8" s="482"/>
      <c r="J8" s="85" t="str">
        <f t="shared" si="1"/>
        <v>----</v>
      </c>
    </row>
    <row r="9" spans="1:10">
      <c r="A9" s="88"/>
      <c r="B9" s="101"/>
      <c r="C9" s="82"/>
      <c r="D9" s="433"/>
      <c r="E9" s="473"/>
      <c r="F9" s="474" t="str">
        <f t="shared" si="2"/>
        <v>----</v>
      </c>
      <c r="G9" s="473"/>
      <c r="H9" s="474" t="str">
        <f t="shared" si="0"/>
        <v>----</v>
      </c>
      <c r="I9" s="486"/>
      <c r="J9" s="83" t="str">
        <f t="shared" si="1"/>
        <v>----</v>
      </c>
    </row>
    <row r="10" spans="1:10">
      <c r="A10" s="91"/>
      <c r="B10" s="92"/>
      <c r="C10" s="84"/>
      <c r="D10" s="479"/>
      <c r="E10" s="484"/>
      <c r="F10" s="485" t="str">
        <f t="shared" si="2"/>
        <v>----</v>
      </c>
      <c r="G10" s="484"/>
      <c r="H10" s="485" t="str">
        <f t="shared" si="0"/>
        <v>----</v>
      </c>
      <c r="I10" s="482"/>
      <c r="J10" s="85" t="str">
        <f t="shared" si="1"/>
        <v>----</v>
      </c>
    </row>
    <row r="11" spans="1:10">
      <c r="A11" s="88"/>
      <c r="B11" s="101"/>
      <c r="C11" s="82"/>
      <c r="D11" s="433"/>
      <c r="E11" s="473"/>
      <c r="F11" s="474" t="str">
        <f t="shared" si="2"/>
        <v>----</v>
      </c>
      <c r="G11" s="473"/>
      <c r="H11" s="474" t="str">
        <f t="shared" si="0"/>
        <v>----</v>
      </c>
      <c r="I11" s="486"/>
      <c r="J11" s="83" t="str">
        <f t="shared" si="1"/>
        <v>----</v>
      </c>
    </row>
    <row r="12" spans="1:10">
      <c r="A12" s="91"/>
      <c r="B12" s="92"/>
      <c r="C12" s="84"/>
      <c r="D12" s="479"/>
      <c r="E12" s="484"/>
      <c r="F12" s="485" t="str">
        <f t="shared" si="2"/>
        <v>----</v>
      </c>
      <c r="G12" s="484"/>
      <c r="H12" s="485" t="str">
        <f t="shared" si="0"/>
        <v>----</v>
      </c>
      <c r="I12" s="482"/>
      <c r="J12" s="85" t="str">
        <f t="shared" si="1"/>
        <v>----</v>
      </c>
    </row>
    <row r="13" spans="1:10">
      <c r="A13" s="88"/>
      <c r="B13" s="101"/>
      <c r="C13" s="82"/>
      <c r="D13" s="433"/>
      <c r="E13" s="473"/>
      <c r="F13" s="474" t="str">
        <f t="shared" si="2"/>
        <v>----</v>
      </c>
      <c r="G13" s="473"/>
      <c r="H13" s="474" t="str">
        <f t="shared" si="0"/>
        <v>----</v>
      </c>
      <c r="I13" s="486"/>
      <c r="J13" s="83" t="str">
        <f t="shared" si="1"/>
        <v>----</v>
      </c>
    </row>
    <row r="14" spans="1:10">
      <c r="A14" s="91"/>
      <c r="B14" s="92"/>
      <c r="C14" s="84"/>
      <c r="D14" s="479"/>
      <c r="E14" s="484"/>
      <c r="F14" s="485" t="str">
        <f t="shared" si="2"/>
        <v>----</v>
      </c>
      <c r="G14" s="484"/>
      <c r="H14" s="485" t="str">
        <f t="shared" si="0"/>
        <v>----</v>
      </c>
      <c r="I14" s="482"/>
      <c r="J14" s="85" t="str">
        <f t="shared" si="1"/>
        <v>----</v>
      </c>
    </row>
    <row r="15" spans="1:10">
      <c r="A15" s="88"/>
      <c r="B15" s="101"/>
      <c r="C15" s="82"/>
      <c r="D15" s="433"/>
      <c r="E15" s="473"/>
      <c r="F15" s="474" t="str">
        <f t="shared" si="2"/>
        <v>----</v>
      </c>
      <c r="G15" s="473"/>
      <c r="H15" s="474" t="str">
        <f t="shared" si="0"/>
        <v>----</v>
      </c>
      <c r="I15" s="486"/>
      <c r="J15" s="83" t="str">
        <f t="shared" si="1"/>
        <v>----</v>
      </c>
    </row>
    <row r="16" spans="1:10">
      <c r="A16" s="91"/>
      <c r="B16" s="92"/>
      <c r="C16" s="84"/>
      <c r="D16" s="479"/>
      <c r="E16" s="484"/>
      <c r="F16" s="485" t="str">
        <f t="shared" si="2"/>
        <v>----</v>
      </c>
      <c r="G16" s="484"/>
      <c r="H16" s="485" t="str">
        <f t="shared" si="0"/>
        <v>----</v>
      </c>
      <c r="I16" s="482"/>
      <c r="J16" s="85" t="str">
        <f t="shared" si="1"/>
        <v>----</v>
      </c>
    </row>
    <row r="17" spans="1:10" ht="15.75" thickBot="1">
      <c r="A17" s="74"/>
      <c r="B17" s="75"/>
      <c r="C17" s="76"/>
      <c r="D17" s="432"/>
      <c r="E17" s="477"/>
      <c r="F17" s="478" t="str">
        <f t="shared" si="2"/>
        <v>----</v>
      </c>
      <c r="G17" s="477"/>
      <c r="H17" s="478" t="str">
        <f t="shared" si="0"/>
        <v>----</v>
      </c>
      <c r="I17" s="483"/>
      <c r="J17" s="77" t="str">
        <f t="shared" si="1"/>
        <v>----</v>
      </c>
    </row>
    <row r="18" spans="1:10" ht="15.75" thickBot="1">
      <c r="A18" s="27"/>
      <c r="B18" s="27"/>
      <c r="C18" s="28"/>
      <c r="D18" s="28"/>
      <c r="E18" s="441"/>
      <c r="F18" s="443">
        <f>SUM(F4:F17)</f>
        <v>-754.91999999992549</v>
      </c>
      <c r="G18" s="441"/>
      <c r="H18" s="443">
        <f>SUM(H4:H17)</f>
        <v>-37981.979999999981</v>
      </c>
      <c r="I18" s="28"/>
      <c r="J18" s="69">
        <f>SUM(J4:J17)</f>
        <v>28191.799999999988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4" bestFit="1" customWidth="1"/>
    <col min="6" max="6" width="12.28515625" style="434" bestFit="1" customWidth="1"/>
    <col min="7" max="7" width="9.5703125" style="434" bestFit="1" customWidth="1"/>
    <col min="8" max="8" width="12.140625" style="434" bestFit="1" customWidth="1"/>
    <col min="9" max="9" width="9.5703125" bestFit="1" customWidth="1"/>
    <col min="10" max="10" width="12.140625" bestFit="1" customWidth="1"/>
  </cols>
  <sheetData>
    <row r="1" spans="1:11" ht="15.75" thickBot="1">
      <c r="A1" s="958" t="s">
        <v>125</v>
      </c>
      <c r="B1" s="959"/>
      <c r="C1" s="959"/>
      <c r="D1" s="959"/>
      <c r="E1" s="959"/>
      <c r="F1" s="959"/>
      <c r="G1" s="959"/>
      <c r="H1" s="959"/>
      <c r="I1" s="959"/>
      <c r="J1" s="960"/>
    </row>
    <row r="2" spans="1:11" s="434" customFormat="1">
      <c r="A2" s="965" t="s">
        <v>110</v>
      </c>
      <c r="B2" s="967" t="s">
        <v>111</v>
      </c>
      <c r="C2" s="967" t="s">
        <v>112</v>
      </c>
      <c r="D2" s="969" t="s">
        <v>120</v>
      </c>
      <c r="E2" s="963" t="s">
        <v>701</v>
      </c>
      <c r="F2" s="964"/>
      <c r="G2" s="963" t="s">
        <v>702</v>
      </c>
      <c r="H2" s="964"/>
      <c r="I2" s="938" t="s">
        <v>796</v>
      </c>
      <c r="J2" s="939"/>
    </row>
    <row r="3" spans="1:11" ht="57.75" thickBot="1">
      <c r="A3" s="966"/>
      <c r="B3" s="968"/>
      <c r="C3" s="968"/>
      <c r="D3" s="970"/>
      <c r="E3" s="462" t="s">
        <v>121</v>
      </c>
      <c r="F3" s="470" t="s">
        <v>704</v>
      </c>
      <c r="G3" s="462" t="s">
        <v>121</v>
      </c>
      <c r="H3" s="470" t="s">
        <v>704</v>
      </c>
      <c r="I3" s="480" t="s">
        <v>121</v>
      </c>
      <c r="J3" s="25" t="s">
        <v>704</v>
      </c>
    </row>
    <row r="4" spans="1:11">
      <c r="A4" s="93">
        <v>43970</v>
      </c>
      <c r="B4" s="94" t="s">
        <v>115</v>
      </c>
      <c r="C4" s="620">
        <f>640781.26/2</f>
        <v>320390.63</v>
      </c>
      <c r="D4" s="621">
        <f>C4</f>
        <v>320390.63</v>
      </c>
      <c r="E4" s="622">
        <f>625333.47/2</f>
        <v>312666.73499999999</v>
      </c>
      <c r="F4" s="623">
        <f>IF(ISBLANK(E4),"----",E4-$D4)</f>
        <v>-7723.8950000000186</v>
      </c>
      <c r="G4" s="622" t="s">
        <v>703</v>
      </c>
      <c r="H4" s="623" t="str">
        <f t="shared" ref="H4:H15" si="0">IF(OR(G4="Complete",ISBLANK(G4)),"----",G4-$D4)</f>
        <v>----</v>
      </c>
      <c r="I4" s="624" t="s">
        <v>703</v>
      </c>
      <c r="J4" s="625" t="str">
        <f t="shared" ref="J4:J15" si="1">IF(OR(I4="Complete",ISBLANK(I4)),"----",I4-$D4)</f>
        <v>----</v>
      </c>
      <c r="K4" t="s">
        <v>131</v>
      </c>
    </row>
    <row r="5" spans="1:11">
      <c r="A5" s="204">
        <v>45034</v>
      </c>
      <c r="B5" s="101" t="s">
        <v>644</v>
      </c>
      <c r="C5" s="626">
        <v>538162.19999999995</v>
      </c>
      <c r="D5" s="627">
        <f>C5</f>
        <v>538162.19999999995</v>
      </c>
      <c r="E5" s="628"/>
      <c r="F5" s="629" t="str">
        <f t="shared" ref="F5:F15" si="2">IF(ISBLANK(E5),"----",E5-$D5)</f>
        <v>----</v>
      </c>
      <c r="G5" s="628"/>
      <c r="H5" s="629" t="str">
        <f t="shared" si="0"/>
        <v>----</v>
      </c>
      <c r="I5" s="630"/>
      <c r="J5" s="631" t="str">
        <f t="shared" si="1"/>
        <v>----</v>
      </c>
    </row>
    <row r="6" spans="1:11">
      <c r="A6" s="373">
        <v>45461</v>
      </c>
      <c r="B6" s="452" t="s">
        <v>758</v>
      </c>
      <c r="C6" s="632">
        <v>772782.78</v>
      </c>
      <c r="D6" s="633">
        <f>C6</f>
        <v>772782.78</v>
      </c>
      <c r="E6" s="634"/>
      <c r="F6" s="635" t="str">
        <f t="shared" si="2"/>
        <v>----</v>
      </c>
      <c r="G6" s="634"/>
      <c r="H6" s="635" t="str">
        <f t="shared" si="0"/>
        <v>----</v>
      </c>
      <c r="I6" s="636"/>
      <c r="J6" s="637" t="str">
        <f t="shared" si="1"/>
        <v>----</v>
      </c>
    </row>
    <row r="7" spans="1:11">
      <c r="A7" s="373"/>
      <c r="B7" s="103"/>
      <c r="C7" s="632"/>
      <c r="D7" s="638"/>
      <c r="E7" s="634"/>
      <c r="F7" s="635" t="str">
        <f t="shared" si="2"/>
        <v>----</v>
      </c>
      <c r="G7" s="634"/>
      <c r="H7" s="635" t="str">
        <f t="shared" si="0"/>
        <v>----</v>
      </c>
      <c r="I7" s="636"/>
      <c r="J7" s="637" t="str">
        <f t="shared" si="1"/>
        <v>----</v>
      </c>
    </row>
    <row r="8" spans="1:11">
      <c r="A8" s="373"/>
      <c r="B8" s="103"/>
      <c r="C8" s="632"/>
      <c r="D8" s="638"/>
      <c r="E8" s="634"/>
      <c r="F8" s="635" t="str">
        <f t="shared" si="2"/>
        <v>----</v>
      </c>
      <c r="G8" s="634"/>
      <c r="H8" s="635" t="str">
        <f t="shared" si="0"/>
        <v>----</v>
      </c>
      <c r="I8" s="636"/>
      <c r="J8" s="637" t="str">
        <f t="shared" si="1"/>
        <v>----</v>
      </c>
    </row>
    <row r="9" spans="1:11">
      <c r="A9" s="373"/>
      <c r="B9" s="103"/>
      <c r="C9" s="632"/>
      <c r="D9" s="638"/>
      <c r="E9" s="634"/>
      <c r="F9" s="635" t="str">
        <f t="shared" si="2"/>
        <v>----</v>
      </c>
      <c r="G9" s="634"/>
      <c r="H9" s="635" t="str">
        <f t="shared" si="0"/>
        <v>----</v>
      </c>
      <c r="I9" s="636"/>
      <c r="J9" s="637" t="str">
        <f t="shared" si="1"/>
        <v>----</v>
      </c>
    </row>
    <row r="10" spans="1:11">
      <c r="A10" s="373"/>
      <c r="B10" s="103"/>
      <c r="C10" s="632"/>
      <c r="D10" s="638"/>
      <c r="E10" s="634"/>
      <c r="F10" s="635" t="str">
        <f t="shared" si="2"/>
        <v>----</v>
      </c>
      <c r="G10" s="634"/>
      <c r="H10" s="635" t="str">
        <f t="shared" si="0"/>
        <v>----</v>
      </c>
      <c r="I10" s="636"/>
      <c r="J10" s="637" t="str">
        <f t="shared" si="1"/>
        <v>----</v>
      </c>
    </row>
    <row r="11" spans="1:11">
      <c r="A11" s="373"/>
      <c r="B11" s="103"/>
      <c r="C11" s="632"/>
      <c r="D11" s="638"/>
      <c r="E11" s="634"/>
      <c r="F11" s="635" t="str">
        <f t="shared" si="2"/>
        <v>----</v>
      </c>
      <c r="G11" s="634"/>
      <c r="H11" s="635" t="str">
        <f t="shared" si="0"/>
        <v>----</v>
      </c>
      <c r="I11" s="636"/>
      <c r="J11" s="637" t="str">
        <f t="shared" si="1"/>
        <v>----</v>
      </c>
    </row>
    <row r="12" spans="1:11">
      <c r="A12" s="373"/>
      <c r="B12" s="103"/>
      <c r="C12" s="632"/>
      <c r="D12" s="638"/>
      <c r="E12" s="634"/>
      <c r="F12" s="635" t="str">
        <f t="shared" si="2"/>
        <v>----</v>
      </c>
      <c r="G12" s="634"/>
      <c r="H12" s="635" t="str">
        <f t="shared" si="0"/>
        <v>----</v>
      </c>
      <c r="I12" s="636"/>
      <c r="J12" s="637" t="str">
        <f t="shared" si="1"/>
        <v>----</v>
      </c>
    </row>
    <row r="13" spans="1:11">
      <c r="A13" s="373"/>
      <c r="B13" s="103"/>
      <c r="C13" s="632"/>
      <c r="D13" s="638"/>
      <c r="E13" s="634"/>
      <c r="F13" s="635" t="str">
        <f t="shared" si="2"/>
        <v>----</v>
      </c>
      <c r="G13" s="634"/>
      <c r="H13" s="635" t="str">
        <f t="shared" si="0"/>
        <v>----</v>
      </c>
      <c r="I13" s="636"/>
      <c r="J13" s="637" t="str">
        <f t="shared" si="1"/>
        <v>----</v>
      </c>
    </row>
    <row r="14" spans="1:11">
      <c r="A14" s="91"/>
      <c r="B14" s="92"/>
      <c r="C14" s="610"/>
      <c r="D14" s="611"/>
      <c r="E14" s="612"/>
      <c r="F14" s="613" t="str">
        <f t="shared" si="2"/>
        <v>----</v>
      </c>
      <c r="G14" s="612"/>
      <c r="H14" s="613" t="str">
        <f t="shared" si="0"/>
        <v>----</v>
      </c>
      <c r="I14" s="614"/>
      <c r="J14" s="615" t="str">
        <f t="shared" si="1"/>
        <v>----</v>
      </c>
    </row>
    <row r="15" spans="1:11" ht="15.75" thickBot="1">
      <c r="A15" s="74"/>
      <c r="B15" s="75"/>
      <c r="C15" s="375"/>
      <c r="D15" s="529"/>
      <c r="E15" s="616"/>
      <c r="F15" s="617" t="str">
        <f t="shared" si="2"/>
        <v>----</v>
      </c>
      <c r="G15" s="616"/>
      <c r="H15" s="617" t="str">
        <f t="shared" si="0"/>
        <v>----</v>
      </c>
      <c r="I15" s="618"/>
      <c r="J15" s="619" t="str">
        <f t="shared" si="1"/>
        <v>----</v>
      </c>
    </row>
    <row r="16" spans="1:11" ht="15.75" thickBot="1">
      <c r="A16" s="27"/>
      <c r="B16" s="27"/>
      <c r="C16" s="28"/>
      <c r="D16" s="28"/>
      <c r="E16" s="441"/>
      <c r="F16" s="443">
        <f>SUM(F4:F15)</f>
        <v>-7723.8950000000186</v>
      </c>
      <c r="G16" s="441"/>
      <c r="H16" s="443">
        <f>SUM(H4:H15)</f>
        <v>0</v>
      </c>
      <c r="I16" s="28"/>
      <c r="J16" s="69">
        <f>SUM(J4:J15)</f>
        <v>0</v>
      </c>
    </row>
    <row r="17" spans="1:10">
      <c r="A17" s="29"/>
      <c r="B17" s="29"/>
      <c r="C17" s="29"/>
      <c r="D17" s="29"/>
      <c r="E17" s="442"/>
      <c r="F17" s="442"/>
      <c r="G17" s="442"/>
      <c r="H17" s="442"/>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4" bestFit="1" customWidth="1"/>
    <col min="6" max="6" width="14.5703125" style="434" customWidth="1"/>
    <col min="7" max="7" width="10.140625" style="434" bestFit="1" customWidth="1"/>
    <col min="8" max="8" width="14.5703125" style="434" customWidth="1"/>
    <col min="9" max="9" width="10.140625" bestFit="1" customWidth="1"/>
    <col min="10" max="10" width="14.5703125" customWidth="1"/>
    <col min="12" max="12" width="12.5703125" bestFit="1" customWidth="1"/>
  </cols>
  <sheetData>
    <row r="1" spans="1:12" ht="15.75" thickBot="1">
      <c r="A1" s="958" t="s">
        <v>232</v>
      </c>
      <c r="B1" s="959"/>
      <c r="C1" s="959"/>
      <c r="D1" s="959"/>
      <c r="E1" s="959"/>
      <c r="F1" s="959"/>
      <c r="G1" s="959"/>
      <c r="H1" s="959"/>
      <c r="I1" s="959"/>
      <c r="J1" s="960"/>
    </row>
    <row r="2" spans="1:12" s="434" customFormat="1">
      <c r="A2" s="965" t="s">
        <v>110</v>
      </c>
      <c r="B2" s="967" t="s">
        <v>111</v>
      </c>
      <c r="C2" s="967" t="s">
        <v>112</v>
      </c>
      <c r="D2" s="969" t="s">
        <v>120</v>
      </c>
      <c r="E2" s="963" t="s">
        <v>701</v>
      </c>
      <c r="F2" s="964"/>
      <c r="G2" s="963" t="s">
        <v>702</v>
      </c>
      <c r="H2" s="964"/>
      <c r="I2" s="938" t="s">
        <v>796</v>
      </c>
      <c r="J2" s="939"/>
    </row>
    <row r="3" spans="1:12" ht="46.5" thickBot="1">
      <c r="A3" s="966"/>
      <c r="B3" s="968"/>
      <c r="C3" s="968"/>
      <c r="D3" s="970"/>
      <c r="E3" s="462" t="s">
        <v>121</v>
      </c>
      <c r="F3" s="470" t="s">
        <v>704</v>
      </c>
      <c r="G3" s="462" t="s">
        <v>121</v>
      </c>
      <c r="H3" s="470" t="s">
        <v>704</v>
      </c>
      <c r="I3" s="480" t="s">
        <v>121</v>
      </c>
      <c r="J3" s="25" t="s">
        <v>704</v>
      </c>
    </row>
    <row r="4" spans="1:12">
      <c r="A4" s="70">
        <v>43942</v>
      </c>
      <c r="B4" s="71" t="s">
        <v>245</v>
      </c>
      <c r="C4" s="728">
        <v>267343</v>
      </c>
      <c r="D4" s="733">
        <f>C4</f>
        <v>267343</v>
      </c>
      <c r="E4" s="743">
        <v>266954.32</v>
      </c>
      <c r="F4" s="774">
        <f>IF(ISBLANK(E4),"----",E4-$D4)</f>
        <v>-388.67999999999302</v>
      </c>
      <c r="G4" s="743" t="s">
        <v>703</v>
      </c>
      <c r="H4" s="774" t="str">
        <f t="shared" ref="H4:H26" si="0">IF(OR(G4="Complete",ISBLANK(G4)),"----",G4-$D4)</f>
        <v>----</v>
      </c>
      <c r="I4" s="738" t="s">
        <v>703</v>
      </c>
      <c r="J4" s="775" t="str">
        <f t="shared" ref="J4:J26" si="1">IF(OR(I4="Complete",ISBLANK(I4)),"----",I4-$D4)</f>
        <v>----</v>
      </c>
    </row>
    <row r="5" spans="1:12">
      <c r="A5" s="88">
        <v>43942</v>
      </c>
      <c r="B5" s="101" t="s">
        <v>246</v>
      </c>
      <c r="C5" s="730">
        <v>359699.4</v>
      </c>
      <c r="D5" s="734">
        <f>C5</f>
        <v>359699.4</v>
      </c>
      <c r="E5" s="744">
        <v>360184.68</v>
      </c>
      <c r="F5" s="782">
        <f t="shared" ref="F5:F26" si="2">IF(ISBLANK(E5),"----",E5-$D5)</f>
        <v>485.27999999996973</v>
      </c>
      <c r="G5" s="744" t="s">
        <v>703</v>
      </c>
      <c r="H5" s="782" t="str">
        <f t="shared" si="0"/>
        <v>----</v>
      </c>
      <c r="I5" s="739" t="s">
        <v>703</v>
      </c>
      <c r="J5" s="783" t="str">
        <f t="shared" si="1"/>
        <v>----</v>
      </c>
    </row>
    <row r="6" spans="1:12">
      <c r="A6" s="102">
        <v>44306</v>
      </c>
      <c r="B6" s="103" t="s">
        <v>423</v>
      </c>
      <c r="C6" s="776">
        <v>691838.93</v>
      </c>
      <c r="D6" s="735">
        <v>418738.93</v>
      </c>
      <c r="E6" s="745">
        <v>423991.46</v>
      </c>
      <c r="F6" s="777">
        <f t="shared" si="2"/>
        <v>5252.5300000000279</v>
      </c>
      <c r="G6" s="745" t="s">
        <v>703</v>
      </c>
      <c r="H6" s="777" t="str">
        <f t="shared" si="0"/>
        <v>----</v>
      </c>
      <c r="I6" s="740" t="s">
        <v>703</v>
      </c>
      <c r="J6" s="778" t="str">
        <f t="shared" si="1"/>
        <v>----</v>
      </c>
      <c r="K6" t="s">
        <v>422</v>
      </c>
    </row>
    <row r="7" spans="1:12">
      <c r="A7" s="102">
        <v>44915</v>
      </c>
      <c r="B7" s="103" t="s">
        <v>614</v>
      </c>
      <c r="C7" s="776">
        <v>592830.35</v>
      </c>
      <c r="D7" s="735">
        <f>C7</f>
        <v>592830.35</v>
      </c>
      <c r="E7" s="745"/>
      <c r="F7" s="777" t="str">
        <f t="shared" si="2"/>
        <v>----</v>
      </c>
      <c r="G7" s="745">
        <v>592733.5</v>
      </c>
      <c r="H7" s="777">
        <f t="shared" si="0"/>
        <v>-96.849999999976717</v>
      </c>
      <c r="I7" s="740"/>
      <c r="J7" s="778" t="str">
        <f t="shared" si="1"/>
        <v>----</v>
      </c>
    </row>
    <row r="8" spans="1:12">
      <c r="A8" s="408">
        <v>45251</v>
      </c>
      <c r="B8" s="409" t="s">
        <v>681</v>
      </c>
      <c r="C8" s="776">
        <v>346590.04</v>
      </c>
      <c r="D8" s="735">
        <f>C8</f>
        <v>346590.04</v>
      </c>
      <c r="E8" s="745"/>
      <c r="F8" s="777" t="str">
        <f t="shared" si="2"/>
        <v>----</v>
      </c>
      <c r="G8" s="745"/>
      <c r="H8" s="777" t="str">
        <f t="shared" si="0"/>
        <v>----</v>
      </c>
      <c r="I8" s="740"/>
      <c r="J8" s="778" t="str">
        <f t="shared" si="1"/>
        <v>----</v>
      </c>
    </row>
    <row r="9" spans="1:12">
      <c r="A9" s="102">
        <v>45279</v>
      </c>
      <c r="B9" s="103" t="s">
        <v>690</v>
      </c>
      <c r="C9" s="776">
        <v>1729293.54</v>
      </c>
      <c r="D9" s="735">
        <f>C9-C9*0.2-C9*0.6</f>
        <v>345858.70799999998</v>
      </c>
      <c r="E9" s="745"/>
      <c r="F9" s="777" t="str">
        <f t="shared" si="2"/>
        <v>----</v>
      </c>
      <c r="G9" s="745"/>
      <c r="H9" s="777" t="str">
        <f t="shared" si="0"/>
        <v>----</v>
      </c>
      <c r="I9" s="740"/>
      <c r="J9" s="778" t="str">
        <f t="shared" si="1"/>
        <v>----</v>
      </c>
      <c r="K9" s="415" t="s">
        <v>706</v>
      </c>
    </row>
    <row r="10" spans="1:12">
      <c r="A10" s="726">
        <v>45643</v>
      </c>
      <c r="B10" s="727" t="s">
        <v>802</v>
      </c>
      <c r="C10" s="776">
        <v>539845.64</v>
      </c>
      <c r="D10" s="735">
        <f>C10</f>
        <v>539845.64</v>
      </c>
      <c r="E10" s="745"/>
      <c r="F10" s="777" t="str">
        <f t="shared" si="2"/>
        <v>----</v>
      </c>
      <c r="G10" s="745"/>
      <c r="H10" s="777" t="str">
        <f t="shared" si="0"/>
        <v>----</v>
      </c>
      <c r="I10" s="740"/>
      <c r="J10" s="778" t="str">
        <f t="shared" si="1"/>
        <v>----</v>
      </c>
    </row>
    <row r="11" spans="1:12">
      <c r="A11" s="102"/>
      <c r="B11" s="103"/>
      <c r="C11" s="776"/>
      <c r="D11" s="735"/>
      <c r="E11" s="745"/>
      <c r="F11" s="777" t="str">
        <f t="shared" si="2"/>
        <v>----</v>
      </c>
      <c r="G11" s="745"/>
      <c r="H11" s="777" t="str">
        <f t="shared" si="0"/>
        <v>----</v>
      </c>
      <c r="I11" s="740"/>
      <c r="J11" s="778" t="str">
        <f t="shared" si="1"/>
        <v>----</v>
      </c>
      <c r="L11" s="597"/>
    </row>
    <row r="12" spans="1:12">
      <c r="A12" s="102"/>
      <c r="B12" s="103"/>
      <c r="C12" s="776"/>
      <c r="D12" s="735"/>
      <c r="E12" s="745"/>
      <c r="F12" s="777" t="str">
        <f t="shared" si="2"/>
        <v>----</v>
      </c>
      <c r="G12" s="745"/>
      <c r="H12" s="777" t="str">
        <f t="shared" si="0"/>
        <v>----</v>
      </c>
      <c r="I12" s="740"/>
      <c r="J12" s="778" t="str">
        <f t="shared" si="1"/>
        <v>----</v>
      </c>
    </row>
    <row r="13" spans="1:12">
      <c r="A13" s="102"/>
      <c r="B13" s="103"/>
      <c r="C13" s="776"/>
      <c r="D13" s="735"/>
      <c r="E13" s="745"/>
      <c r="F13" s="777" t="str">
        <f t="shared" si="2"/>
        <v>----</v>
      </c>
      <c r="G13" s="745"/>
      <c r="H13" s="777" t="str">
        <f t="shared" si="0"/>
        <v>----</v>
      </c>
      <c r="I13" s="740"/>
      <c r="J13" s="778" t="str">
        <f t="shared" si="1"/>
        <v>----</v>
      </c>
    </row>
    <row r="14" spans="1:12">
      <c r="A14" s="102"/>
      <c r="B14" s="103"/>
      <c r="C14" s="776"/>
      <c r="D14" s="735"/>
      <c r="E14" s="745"/>
      <c r="F14" s="777" t="str">
        <f t="shared" si="2"/>
        <v>----</v>
      </c>
      <c r="G14" s="745"/>
      <c r="H14" s="777" t="str">
        <f t="shared" si="0"/>
        <v>----</v>
      </c>
      <c r="I14" s="740"/>
      <c r="J14" s="778" t="str">
        <f t="shared" si="1"/>
        <v>----</v>
      </c>
    </row>
    <row r="15" spans="1:12">
      <c r="A15" s="102"/>
      <c r="B15" s="103"/>
      <c r="C15" s="776"/>
      <c r="D15" s="735"/>
      <c r="E15" s="745"/>
      <c r="F15" s="777" t="str">
        <f t="shared" si="2"/>
        <v>----</v>
      </c>
      <c r="G15" s="745"/>
      <c r="H15" s="777" t="str">
        <f t="shared" si="0"/>
        <v>----</v>
      </c>
      <c r="I15" s="740"/>
      <c r="J15" s="778" t="str">
        <f t="shared" si="1"/>
        <v>----</v>
      </c>
    </row>
    <row r="16" spans="1:12">
      <c r="A16" s="102"/>
      <c r="B16" s="103"/>
      <c r="C16" s="776"/>
      <c r="D16" s="735"/>
      <c r="E16" s="745"/>
      <c r="F16" s="777" t="str">
        <f t="shared" si="2"/>
        <v>----</v>
      </c>
      <c r="G16" s="745"/>
      <c r="H16" s="777" t="str">
        <f t="shared" si="0"/>
        <v>----</v>
      </c>
      <c r="I16" s="740"/>
      <c r="J16" s="778" t="str">
        <f t="shared" si="1"/>
        <v>----</v>
      </c>
    </row>
    <row r="17" spans="1:10">
      <c r="A17" s="102"/>
      <c r="B17" s="103"/>
      <c r="C17" s="776"/>
      <c r="D17" s="735"/>
      <c r="E17" s="745"/>
      <c r="F17" s="777" t="str">
        <f t="shared" si="2"/>
        <v>----</v>
      </c>
      <c r="G17" s="745"/>
      <c r="H17" s="777" t="str">
        <f t="shared" si="0"/>
        <v>----</v>
      </c>
      <c r="I17" s="740"/>
      <c r="J17" s="778" t="str">
        <f t="shared" si="1"/>
        <v>----</v>
      </c>
    </row>
    <row r="18" spans="1:10">
      <c r="A18" s="102"/>
      <c r="B18" s="103"/>
      <c r="C18" s="776"/>
      <c r="D18" s="735"/>
      <c r="E18" s="745"/>
      <c r="F18" s="777" t="str">
        <f t="shared" si="2"/>
        <v>----</v>
      </c>
      <c r="G18" s="745"/>
      <c r="H18" s="777" t="str">
        <f t="shared" si="0"/>
        <v>----</v>
      </c>
      <c r="I18" s="740"/>
      <c r="J18" s="778" t="str">
        <f t="shared" si="1"/>
        <v>----</v>
      </c>
    </row>
    <row r="19" spans="1:10">
      <c r="A19" s="102"/>
      <c r="B19" s="103"/>
      <c r="C19" s="776"/>
      <c r="D19" s="735"/>
      <c r="E19" s="745"/>
      <c r="F19" s="777" t="str">
        <f t="shared" si="2"/>
        <v>----</v>
      </c>
      <c r="G19" s="745"/>
      <c r="H19" s="777" t="str">
        <f t="shared" si="0"/>
        <v>----</v>
      </c>
      <c r="I19" s="740"/>
      <c r="J19" s="778" t="str">
        <f t="shared" si="1"/>
        <v>----</v>
      </c>
    </row>
    <row r="20" spans="1:10">
      <c r="A20" s="102"/>
      <c r="B20" s="103"/>
      <c r="C20" s="776"/>
      <c r="D20" s="735"/>
      <c r="E20" s="745"/>
      <c r="F20" s="777" t="str">
        <f t="shared" si="2"/>
        <v>----</v>
      </c>
      <c r="G20" s="745"/>
      <c r="H20" s="777" t="str">
        <f t="shared" si="0"/>
        <v>----</v>
      </c>
      <c r="I20" s="740"/>
      <c r="J20" s="778" t="str">
        <f t="shared" si="1"/>
        <v>----</v>
      </c>
    </row>
    <row r="21" spans="1:10">
      <c r="A21" s="102"/>
      <c r="B21" s="103"/>
      <c r="C21" s="776"/>
      <c r="D21" s="735"/>
      <c r="E21" s="745"/>
      <c r="F21" s="777" t="str">
        <f t="shared" si="2"/>
        <v>----</v>
      </c>
      <c r="G21" s="745"/>
      <c r="H21" s="777" t="str">
        <f t="shared" si="0"/>
        <v>----</v>
      </c>
      <c r="I21" s="740"/>
      <c r="J21" s="778" t="str">
        <f t="shared" si="1"/>
        <v>----</v>
      </c>
    </row>
    <row r="22" spans="1:10">
      <c r="A22" s="102"/>
      <c r="B22" s="103"/>
      <c r="C22" s="776"/>
      <c r="D22" s="735"/>
      <c r="E22" s="745"/>
      <c r="F22" s="777" t="str">
        <f t="shared" si="2"/>
        <v>----</v>
      </c>
      <c r="G22" s="745"/>
      <c r="H22" s="777" t="str">
        <f t="shared" si="0"/>
        <v>----</v>
      </c>
      <c r="I22" s="740"/>
      <c r="J22" s="778" t="str">
        <f t="shared" si="1"/>
        <v>----</v>
      </c>
    </row>
    <row r="23" spans="1:10">
      <c r="A23" s="102"/>
      <c r="B23" s="103"/>
      <c r="C23" s="776"/>
      <c r="D23" s="735"/>
      <c r="E23" s="745"/>
      <c r="F23" s="777" t="str">
        <f t="shared" si="2"/>
        <v>----</v>
      </c>
      <c r="G23" s="745"/>
      <c r="H23" s="777" t="str">
        <f t="shared" si="0"/>
        <v>----</v>
      </c>
      <c r="I23" s="740"/>
      <c r="J23" s="778" t="str">
        <f t="shared" si="1"/>
        <v>----</v>
      </c>
    </row>
    <row r="24" spans="1:10">
      <c r="A24" s="102"/>
      <c r="B24" s="103"/>
      <c r="C24" s="776"/>
      <c r="D24" s="735"/>
      <c r="E24" s="745"/>
      <c r="F24" s="777" t="str">
        <f t="shared" si="2"/>
        <v>----</v>
      </c>
      <c r="G24" s="745"/>
      <c r="H24" s="777" t="str">
        <f t="shared" si="0"/>
        <v>----</v>
      </c>
      <c r="I24" s="740"/>
      <c r="J24" s="778" t="str">
        <f t="shared" si="1"/>
        <v>----</v>
      </c>
    </row>
    <row r="25" spans="1:10">
      <c r="A25" s="116"/>
      <c r="B25" s="117"/>
      <c r="C25" s="779"/>
      <c r="D25" s="736"/>
      <c r="E25" s="746"/>
      <c r="F25" s="780" t="str">
        <f t="shared" si="2"/>
        <v>----</v>
      </c>
      <c r="G25" s="746"/>
      <c r="H25" s="780" t="str">
        <f t="shared" si="0"/>
        <v>----</v>
      </c>
      <c r="I25" s="741"/>
      <c r="J25" s="781" t="str">
        <f t="shared" si="1"/>
        <v>----</v>
      </c>
    </row>
    <row r="26" spans="1:10" ht="15.75" thickBot="1">
      <c r="A26" s="74"/>
      <c r="B26" s="75"/>
      <c r="C26" s="729"/>
      <c r="D26" s="737"/>
      <c r="E26" s="747"/>
      <c r="F26" s="772" t="str">
        <f t="shared" si="2"/>
        <v>----</v>
      </c>
      <c r="G26" s="747"/>
      <c r="H26" s="772" t="str">
        <f t="shared" si="0"/>
        <v>----</v>
      </c>
      <c r="I26" s="742"/>
      <c r="J26" s="773" t="str">
        <f t="shared" si="1"/>
        <v>----</v>
      </c>
    </row>
    <row r="27" spans="1:10" ht="15.75" thickBot="1">
      <c r="A27" s="27"/>
      <c r="B27" s="27"/>
      <c r="C27" s="28"/>
      <c r="D27" s="28"/>
      <c r="E27" s="441"/>
      <c r="F27" s="443">
        <f>SUM(F4:F26)</f>
        <v>5349.1300000000047</v>
      </c>
      <c r="G27" s="441"/>
      <c r="H27" s="443">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4" bestFit="1" customWidth="1"/>
    <col min="6" max="6" width="12" style="434" customWidth="1"/>
    <col min="7" max="7" width="10.7109375" style="434" bestFit="1" customWidth="1"/>
    <col min="8" max="8" width="12" style="434" customWidth="1"/>
    <col min="9" max="9" width="10.7109375" bestFit="1" customWidth="1"/>
    <col min="10" max="10" width="12" customWidth="1"/>
  </cols>
  <sheetData>
    <row r="1" spans="1:10" ht="15.75" thickBot="1">
      <c r="A1" s="958" t="s">
        <v>217</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57.75" thickBot="1">
      <c r="A3" s="966"/>
      <c r="B3" s="968"/>
      <c r="C3" s="968"/>
      <c r="D3" s="970"/>
      <c r="E3" s="462" t="s">
        <v>121</v>
      </c>
      <c r="F3" s="470" t="s">
        <v>704</v>
      </c>
      <c r="G3" s="462" t="s">
        <v>121</v>
      </c>
      <c r="H3" s="470" t="s">
        <v>704</v>
      </c>
      <c r="I3" s="480" t="s">
        <v>121</v>
      </c>
      <c r="J3" s="440" t="s">
        <v>704</v>
      </c>
    </row>
    <row r="4" spans="1:10">
      <c r="A4" s="70">
        <v>43879</v>
      </c>
      <c r="B4" s="71" t="s">
        <v>218</v>
      </c>
      <c r="C4" s="787">
        <v>393213.65</v>
      </c>
      <c r="D4" s="787">
        <f t="shared" ref="D4:D9" si="0">C4</f>
        <v>393213.65</v>
      </c>
      <c r="E4" s="800"/>
      <c r="F4" s="809" t="str">
        <f t="shared" ref="F4:F21" si="1">IF(ISBLANK(E4),"----",E4-D4)</f>
        <v>----</v>
      </c>
      <c r="G4" s="800"/>
      <c r="H4" s="809" t="str">
        <f t="shared" ref="H4:H21" si="2">IF(OR(G4="Complete",ISBLANK(G4)),"----",G4-$D4)</f>
        <v>----</v>
      </c>
      <c r="I4" s="797"/>
      <c r="J4" s="810" t="str">
        <f t="shared" ref="J4:J21" si="3">IF(OR(I4="Complete",ISBLANK(I4)),"----",I4-$D4)</f>
        <v>----</v>
      </c>
    </row>
    <row r="5" spans="1:10">
      <c r="A5" s="88">
        <v>44216</v>
      </c>
      <c r="B5" s="101" t="s">
        <v>377</v>
      </c>
      <c r="C5" s="790">
        <v>103125.5</v>
      </c>
      <c r="D5" s="790">
        <f t="shared" si="0"/>
        <v>103125.5</v>
      </c>
      <c r="E5" s="801">
        <v>104313.75</v>
      </c>
      <c r="F5" s="813">
        <f t="shared" si="1"/>
        <v>1188.25</v>
      </c>
      <c r="G5" s="801" t="s">
        <v>703</v>
      </c>
      <c r="H5" s="813" t="str">
        <f t="shared" si="2"/>
        <v>----</v>
      </c>
      <c r="I5" s="798" t="s">
        <v>703</v>
      </c>
      <c r="J5" s="814" t="str">
        <f t="shared" si="3"/>
        <v>----</v>
      </c>
    </row>
    <row r="6" spans="1:10">
      <c r="A6" s="102">
        <v>44880</v>
      </c>
      <c r="B6" s="103" t="s">
        <v>592</v>
      </c>
      <c r="C6" s="776">
        <v>205316</v>
      </c>
      <c r="D6" s="776">
        <f t="shared" si="0"/>
        <v>205316</v>
      </c>
      <c r="E6" s="745"/>
      <c r="F6" s="813" t="str">
        <f t="shared" si="1"/>
        <v>----</v>
      </c>
      <c r="G6" s="745">
        <v>205251.42</v>
      </c>
      <c r="H6" s="777">
        <f t="shared" si="2"/>
        <v>-64.579999999987194</v>
      </c>
      <c r="I6" s="740" t="s">
        <v>703</v>
      </c>
      <c r="J6" s="778" t="str">
        <f t="shared" si="3"/>
        <v>----</v>
      </c>
    </row>
    <row r="7" spans="1:10">
      <c r="A7" s="102">
        <v>44880</v>
      </c>
      <c r="B7" s="103" t="s">
        <v>593</v>
      </c>
      <c r="C7" s="776">
        <v>764936</v>
      </c>
      <c r="D7" s="776">
        <f t="shared" si="0"/>
        <v>764936</v>
      </c>
      <c r="E7" s="745"/>
      <c r="F7" s="813" t="str">
        <f t="shared" si="1"/>
        <v>----</v>
      </c>
      <c r="G7" s="745">
        <v>775061.18</v>
      </c>
      <c r="H7" s="777">
        <f t="shared" si="2"/>
        <v>10125.180000000051</v>
      </c>
      <c r="I7" s="740" t="s">
        <v>703</v>
      </c>
      <c r="J7" s="778" t="str">
        <f t="shared" si="3"/>
        <v>----</v>
      </c>
    </row>
    <row r="8" spans="1:10">
      <c r="A8" s="102">
        <v>45734</v>
      </c>
      <c r="B8" s="727" t="s">
        <v>858</v>
      </c>
      <c r="C8" s="776">
        <v>192912</v>
      </c>
      <c r="D8" s="776">
        <f t="shared" si="0"/>
        <v>192912</v>
      </c>
      <c r="E8" s="745"/>
      <c r="F8" s="813" t="str">
        <f t="shared" si="1"/>
        <v>----</v>
      </c>
      <c r="G8" s="745"/>
      <c r="H8" s="777" t="str">
        <f t="shared" si="2"/>
        <v>----</v>
      </c>
      <c r="I8" s="740"/>
      <c r="J8" s="778" t="str">
        <f t="shared" si="3"/>
        <v>----</v>
      </c>
    </row>
    <row r="9" spans="1:10">
      <c r="A9" s="102">
        <v>45734</v>
      </c>
      <c r="B9" s="727" t="s">
        <v>859</v>
      </c>
      <c r="C9" s="776">
        <v>149826.75</v>
      </c>
      <c r="D9" s="776">
        <f t="shared" si="0"/>
        <v>149826.75</v>
      </c>
      <c r="E9" s="745"/>
      <c r="F9" s="813" t="str">
        <f t="shared" si="1"/>
        <v>----</v>
      </c>
      <c r="G9" s="745"/>
      <c r="H9" s="777" t="str">
        <f t="shared" si="2"/>
        <v>----</v>
      </c>
      <c r="I9" s="740"/>
      <c r="J9" s="778" t="str">
        <f t="shared" si="3"/>
        <v>----</v>
      </c>
    </row>
    <row r="10" spans="1:10">
      <c r="A10" s="102"/>
      <c r="B10" s="103"/>
      <c r="C10" s="776"/>
      <c r="D10" s="776"/>
      <c r="E10" s="745"/>
      <c r="F10" s="813" t="str">
        <f t="shared" si="1"/>
        <v>----</v>
      </c>
      <c r="G10" s="745"/>
      <c r="H10" s="777" t="str">
        <f t="shared" si="2"/>
        <v>----</v>
      </c>
      <c r="I10" s="740"/>
      <c r="J10" s="778" t="str">
        <f t="shared" si="3"/>
        <v>----</v>
      </c>
    </row>
    <row r="11" spans="1:10">
      <c r="A11" s="102"/>
      <c r="B11" s="103"/>
      <c r="C11" s="776"/>
      <c r="D11" s="776"/>
      <c r="E11" s="745"/>
      <c r="F11" s="813" t="str">
        <f t="shared" si="1"/>
        <v>----</v>
      </c>
      <c r="G11" s="745"/>
      <c r="H11" s="777" t="str">
        <f t="shared" si="2"/>
        <v>----</v>
      </c>
      <c r="I11" s="740"/>
      <c r="J11" s="778" t="str">
        <f t="shared" si="3"/>
        <v>----</v>
      </c>
    </row>
    <row r="12" spans="1:10">
      <c r="A12" s="102"/>
      <c r="B12" s="103"/>
      <c r="C12" s="776"/>
      <c r="D12" s="776"/>
      <c r="E12" s="745"/>
      <c r="F12" s="813" t="str">
        <f t="shared" si="1"/>
        <v>----</v>
      </c>
      <c r="G12" s="745"/>
      <c r="H12" s="777" t="str">
        <f t="shared" si="2"/>
        <v>----</v>
      </c>
      <c r="I12" s="740"/>
      <c r="J12" s="778" t="str">
        <f t="shared" si="3"/>
        <v>----</v>
      </c>
    </row>
    <row r="13" spans="1:10">
      <c r="A13" s="102"/>
      <c r="B13" s="103"/>
      <c r="C13" s="776"/>
      <c r="D13" s="776"/>
      <c r="E13" s="745"/>
      <c r="F13" s="813" t="str">
        <f t="shared" si="1"/>
        <v>----</v>
      </c>
      <c r="G13" s="745"/>
      <c r="H13" s="777" t="str">
        <f t="shared" si="2"/>
        <v>----</v>
      </c>
      <c r="I13" s="740"/>
      <c r="J13" s="778" t="str">
        <f t="shared" si="3"/>
        <v>----</v>
      </c>
    </row>
    <row r="14" spans="1:10">
      <c r="A14" s="102"/>
      <c r="B14" s="103"/>
      <c r="C14" s="776"/>
      <c r="D14" s="776"/>
      <c r="E14" s="745"/>
      <c r="F14" s="813" t="str">
        <f t="shared" si="1"/>
        <v>----</v>
      </c>
      <c r="G14" s="745"/>
      <c r="H14" s="777" t="str">
        <f t="shared" si="2"/>
        <v>----</v>
      </c>
      <c r="I14" s="740"/>
      <c r="J14" s="778" t="str">
        <f t="shared" si="3"/>
        <v>----</v>
      </c>
    </row>
    <row r="15" spans="1:10">
      <c r="A15" s="102"/>
      <c r="B15" s="103"/>
      <c r="C15" s="776"/>
      <c r="D15" s="776"/>
      <c r="E15" s="745"/>
      <c r="F15" s="813" t="str">
        <f t="shared" si="1"/>
        <v>----</v>
      </c>
      <c r="G15" s="745"/>
      <c r="H15" s="777" t="str">
        <f t="shared" si="2"/>
        <v>----</v>
      </c>
      <c r="I15" s="740"/>
      <c r="J15" s="778" t="str">
        <f t="shared" si="3"/>
        <v>----</v>
      </c>
    </row>
    <row r="16" spans="1:10">
      <c r="A16" s="102"/>
      <c r="B16" s="103"/>
      <c r="C16" s="776"/>
      <c r="D16" s="776"/>
      <c r="E16" s="745"/>
      <c r="F16" s="813" t="str">
        <f t="shared" si="1"/>
        <v>----</v>
      </c>
      <c r="G16" s="745"/>
      <c r="H16" s="777" t="str">
        <f t="shared" si="2"/>
        <v>----</v>
      </c>
      <c r="I16" s="740"/>
      <c r="J16" s="778" t="str">
        <f t="shared" si="3"/>
        <v>----</v>
      </c>
    </row>
    <row r="17" spans="1:10">
      <c r="A17" s="102"/>
      <c r="B17" s="103"/>
      <c r="C17" s="776"/>
      <c r="D17" s="776"/>
      <c r="E17" s="745"/>
      <c r="F17" s="813" t="str">
        <f t="shared" si="1"/>
        <v>----</v>
      </c>
      <c r="G17" s="745"/>
      <c r="H17" s="777" t="str">
        <f t="shared" si="2"/>
        <v>----</v>
      </c>
      <c r="I17" s="740"/>
      <c r="J17" s="778" t="str">
        <f t="shared" si="3"/>
        <v>----</v>
      </c>
    </row>
    <row r="18" spans="1:10">
      <c r="A18" s="102"/>
      <c r="B18" s="103"/>
      <c r="C18" s="776"/>
      <c r="D18" s="776"/>
      <c r="E18" s="745"/>
      <c r="F18" s="813" t="str">
        <f t="shared" si="1"/>
        <v>----</v>
      </c>
      <c r="G18" s="745"/>
      <c r="H18" s="777" t="str">
        <f t="shared" si="2"/>
        <v>----</v>
      </c>
      <c r="I18" s="740"/>
      <c r="J18" s="778" t="str">
        <f t="shared" si="3"/>
        <v>----</v>
      </c>
    </row>
    <row r="19" spans="1:10">
      <c r="A19" s="102"/>
      <c r="B19" s="103"/>
      <c r="C19" s="776"/>
      <c r="D19" s="776"/>
      <c r="E19" s="745"/>
      <c r="F19" s="813" t="str">
        <f t="shared" si="1"/>
        <v>----</v>
      </c>
      <c r="G19" s="745"/>
      <c r="H19" s="777" t="str">
        <f t="shared" si="2"/>
        <v>----</v>
      </c>
      <c r="I19" s="740"/>
      <c r="J19" s="778" t="str">
        <f t="shared" si="3"/>
        <v>----</v>
      </c>
    </row>
    <row r="20" spans="1:10">
      <c r="A20" s="116"/>
      <c r="B20" s="117"/>
      <c r="C20" s="779"/>
      <c r="D20" s="779"/>
      <c r="E20" s="745"/>
      <c r="F20" s="813" t="str">
        <f t="shared" si="1"/>
        <v>----</v>
      </c>
      <c r="G20" s="746"/>
      <c r="H20" s="780" t="str">
        <f t="shared" si="2"/>
        <v>----</v>
      </c>
      <c r="I20" s="741"/>
      <c r="J20" s="781" t="str">
        <f t="shared" si="3"/>
        <v>----</v>
      </c>
    </row>
    <row r="21" spans="1:10" ht="15.75" thickBot="1">
      <c r="A21" s="74"/>
      <c r="B21" s="75"/>
      <c r="C21" s="789"/>
      <c r="D21" s="789"/>
      <c r="E21" s="746"/>
      <c r="F21" s="813" t="str">
        <f t="shared" si="1"/>
        <v>----</v>
      </c>
      <c r="G21" s="802"/>
      <c r="H21" s="807" t="str">
        <f t="shared" si="2"/>
        <v>----</v>
      </c>
      <c r="I21" s="799"/>
      <c r="J21" s="808" t="str">
        <f t="shared" si="3"/>
        <v>----</v>
      </c>
    </row>
    <row r="22" spans="1:10" ht="15.75" thickBot="1">
      <c r="A22" s="27"/>
      <c r="B22" s="27"/>
      <c r="C22" s="820"/>
      <c r="D22" s="820"/>
      <c r="E22" s="820"/>
      <c r="F22" s="821">
        <f>SUM(F4:F21)</f>
        <v>1188.25</v>
      </c>
      <c r="G22" s="820"/>
      <c r="H22" s="821">
        <f>SUM(H4:H21)</f>
        <v>10060.600000000064</v>
      </c>
      <c r="I22" s="820"/>
      <c r="J22" s="821">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4" bestFit="1" customWidth="1"/>
    <col min="6" max="6" width="12.5703125" style="434" customWidth="1"/>
    <col min="7" max="7" width="10.7109375" style="434" bestFit="1" customWidth="1"/>
    <col min="8" max="8" width="12.5703125" style="434" customWidth="1"/>
    <col min="9" max="9" width="10.7109375" bestFit="1" customWidth="1"/>
    <col min="10" max="10" width="12.5703125" customWidth="1"/>
  </cols>
  <sheetData>
    <row r="1" spans="1:10" ht="15.75" thickBot="1">
      <c r="A1" s="958" t="s">
        <v>182</v>
      </c>
      <c r="B1" s="959"/>
      <c r="C1" s="959"/>
      <c r="D1" s="959"/>
      <c r="E1" s="959"/>
      <c r="F1" s="959"/>
      <c r="G1" s="959"/>
      <c r="H1" s="959"/>
      <c r="I1" s="959"/>
      <c r="J1" s="960"/>
    </row>
    <row r="2" spans="1:10" s="434" customFormat="1">
      <c r="A2" s="965" t="s">
        <v>110</v>
      </c>
      <c r="B2" s="967" t="s">
        <v>111</v>
      </c>
      <c r="C2" s="967" t="s">
        <v>112</v>
      </c>
      <c r="D2" s="969" t="s">
        <v>120</v>
      </c>
      <c r="E2" s="963" t="s">
        <v>701</v>
      </c>
      <c r="F2" s="964"/>
      <c r="G2" s="963" t="s">
        <v>702</v>
      </c>
      <c r="H2" s="964"/>
      <c r="I2" s="938" t="s">
        <v>796</v>
      </c>
      <c r="J2" s="939"/>
    </row>
    <row r="3" spans="1:10" ht="46.5" thickBot="1">
      <c r="A3" s="966"/>
      <c r="B3" s="968"/>
      <c r="C3" s="968"/>
      <c r="D3" s="970"/>
      <c r="E3" s="462" t="s">
        <v>121</v>
      </c>
      <c r="F3" s="470" t="s">
        <v>704</v>
      </c>
      <c r="G3" s="462" t="s">
        <v>121</v>
      </c>
      <c r="H3" s="470" t="s">
        <v>704</v>
      </c>
      <c r="I3" s="480" t="s">
        <v>121</v>
      </c>
      <c r="J3" s="25" t="s">
        <v>704</v>
      </c>
    </row>
    <row r="4" spans="1:10">
      <c r="A4" s="70">
        <v>43852</v>
      </c>
      <c r="B4" s="71" t="s">
        <v>199</v>
      </c>
      <c r="C4" s="72">
        <v>356465.93</v>
      </c>
      <c r="D4" s="72">
        <f>C4</f>
        <v>356465.93</v>
      </c>
      <c r="E4" s="471">
        <v>361583.6</v>
      </c>
      <c r="F4" s="472">
        <f t="shared" ref="F4:F9" si="0">IF(ISBLANK(E4),"----",E4-D4)</f>
        <v>5117.6699999999837</v>
      </c>
      <c r="G4" s="471" t="s">
        <v>703</v>
      </c>
      <c r="H4" s="472" t="str">
        <f t="shared" ref="H4:H9" si="1">IF(OR(G4="Complete",ISBLANK(G4)),"----",G4-$D4)</f>
        <v>----</v>
      </c>
      <c r="I4" s="481" t="s">
        <v>703</v>
      </c>
      <c r="J4" s="73" t="str">
        <f t="shared" ref="J4:J9" si="2">IF(OR(I4="Complete",ISBLANK(I4)),"----",I4-$D4)</f>
        <v>----</v>
      </c>
    </row>
    <row r="5" spans="1:10">
      <c r="A5" s="88">
        <v>43942</v>
      </c>
      <c r="B5" s="101" t="s">
        <v>243</v>
      </c>
      <c r="C5" s="82">
        <v>691772.2</v>
      </c>
      <c r="D5" s="82">
        <f>C5</f>
        <v>691772.2</v>
      </c>
      <c r="E5" s="473">
        <v>676290.05</v>
      </c>
      <c r="F5" s="474">
        <f t="shared" si="0"/>
        <v>-15482.149999999907</v>
      </c>
      <c r="G5" s="473" t="s">
        <v>703</v>
      </c>
      <c r="H5" s="474" t="str">
        <f t="shared" si="1"/>
        <v>----</v>
      </c>
      <c r="I5" s="486" t="s">
        <v>703</v>
      </c>
      <c r="J5" s="83" t="str">
        <f t="shared" si="2"/>
        <v>----</v>
      </c>
    </row>
    <row r="6" spans="1:10">
      <c r="A6" s="88">
        <v>43942</v>
      </c>
      <c r="B6" s="101" t="s">
        <v>244</v>
      </c>
      <c r="C6" s="82">
        <v>285958.26</v>
      </c>
      <c r="D6" s="82">
        <f>C6</f>
        <v>285958.26</v>
      </c>
      <c r="E6" s="475"/>
      <c r="F6" s="474" t="str">
        <f t="shared" si="0"/>
        <v>----</v>
      </c>
      <c r="G6" s="473"/>
      <c r="H6" s="474" t="str">
        <f t="shared" si="1"/>
        <v>----</v>
      </c>
      <c r="I6" s="486"/>
      <c r="J6" s="83" t="str">
        <f t="shared" si="2"/>
        <v>----</v>
      </c>
    </row>
    <row r="7" spans="1:10">
      <c r="A7" s="88"/>
      <c r="B7" s="101"/>
      <c r="C7" s="82"/>
      <c r="D7" s="82"/>
      <c r="E7" s="475"/>
      <c r="F7" s="474" t="str">
        <f t="shared" si="0"/>
        <v>----</v>
      </c>
      <c r="G7" s="473"/>
      <c r="H7" s="474" t="str">
        <f t="shared" si="1"/>
        <v>----</v>
      </c>
      <c r="I7" s="486"/>
      <c r="J7" s="83" t="str">
        <f t="shared" si="2"/>
        <v>----</v>
      </c>
    </row>
    <row r="8" spans="1:10">
      <c r="A8" s="88"/>
      <c r="B8" s="101"/>
      <c r="C8" s="82"/>
      <c r="D8" s="82"/>
      <c r="E8" s="475"/>
      <c r="F8" s="474" t="str">
        <f t="shared" si="0"/>
        <v>----</v>
      </c>
      <c r="G8" s="473"/>
      <c r="H8" s="474" t="str">
        <f t="shared" si="1"/>
        <v>----</v>
      </c>
      <c r="I8" s="486"/>
      <c r="J8" s="83" t="str">
        <f t="shared" si="2"/>
        <v>----</v>
      </c>
    </row>
    <row r="9" spans="1:10" ht="15.75" thickBot="1">
      <c r="A9" s="74"/>
      <c r="B9" s="75"/>
      <c r="C9" s="76"/>
      <c r="D9" s="76"/>
      <c r="E9" s="664"/>
      <c r="F9" s="665" t="str">
        <f t="shared" si="0"/>
        <v>----</v>
      </c>
      <c r="G9" s="477"/>
      <c r="H9" s="478" t="str">
        <f t="shared" si="1"/>
        <v>----</v>
      </c>
      <c r="I9" s="483"/>
      <c r="J9" s="77" t="str">
        <f t="shared" si="2"/>
        <v>----</v>
      </c>
    </row>
    <row r="10" spans="1:10" ht="15.75" thickBot="1">
      <c r="A10" s="27"/>
      <c r="B10" s="27"/>
      <c r="C10" s="28"/>
      <c r="D10" s="28"/>
      <c r="E10" s="441"/>
      <c r="F10" s="443">
        <f>SUM(F4:F9)</f>
        <v>-10364.479999999923</v>
      </c>
      <c r="G10" s="441"/>
      <c r="H10" s="443">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4" bestFit="1" customWidth="1"/>
    <col min="6" max="6" width="11.85546875" style="434" customWidth="1"/>
    <col min="7" max="7" width="10.7109375" style="434" bestFit="1" customWidth="1"/>
    <col min="8" max="8" width="11.85546875" style="434" customWidth="1"/>
    <col min="9" max="9" width="10.7109375" bestFit="1" customWidth="1"/>
    <col min="10" max="10" width="11.85546875" customWidth="1"/>
  </cols>
  <sheetData>
    <row r="1" spans="1:10" ht="15.75" thickBot="1">
      <c r="A1" s="958" t="s">
        <v>183</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704</v>
      </c>
      <c r="G3" s="462" t="s">
        <v>121</v>
      </c>
      <c r="H3" s="470" t="s">
        <v>704</v>
      </c>
      <c r="I3" s="480" t="s">
        <v>121</v>
      </c>
      <c r="J3" s="25" t="s">
        <v>704</v>
      </c>
    </row>
    <row r="4" spans="1:10">
      <c r="A4" s="70">
        <v>43852</v>
      </c>
      <c r="B4" s="71" t="s">
        <v>198</v>
      </c>
      <c r="C4" s="72">
        <v>370916</v>
      </c>
      <c r="D4" s="431">
        <f t="shared" ref="D4:D9" si="0">C4</f>
        <v>370916</v>
      </c>
      <c r="E4" s="471"/>
      <c r="F4" s="472" t="str">
        <f t="shared" ref="F4:F22" si="1">IF(ISBLANK(E4),"----",E4-D4)</f>
        <v>----</v>
      </c>
      <c r="G4" s="471"/>
      <c r="H4" s="472" t="str">
        <f t="shared" ref="H4:H22" si="2">IF(OR(G4="Complete",ISBLANK(G4)),"----",G4-$D4)</f>
        <v>----</v>
      </c>
      <c r="I4" s="481"/>
      <c r="J4" s="73" t="str">
        <f t="shared" ref="J4:J22" si="3">IF(OR(I4="Complete",ISBLANK(I4)),"----",I4-$D4)</f>
        <v>----</v>
      </c>
    </row>
    <row r="5" spans="1:10">
      <c r="A5" s="88">
        <v>44243</v>
      </c>
      <c r="B5" s="101" t="s">
        <v>398</v>
      </c>
      <c r="C5" s="82">
        <v>475510.3</v>
      </c>
      <c r="D5" s="433">
        <f t="shared" si="0"/>
        <v>475510.3</v>
      </c>
      <c r="E5" s="473">
        <v>473971.95</v>
      </c>
      <c r="F5" s="474">
        <f t="shared" si="1"/>
        <v>-1538.3499999999767</v>
      </c>
      <c r="G5" s="473" t="s">
        <v>703</v>
      </c>
      <c r="H5" s="474" t="str">
        <f t="shared" si="2"/>
        <v>----</v>
      </c>
      <c r="I5" s="486" t="s">
        <v>703</v>
      </c>
      <c r="J5" s="83" t="str">
        <f t="shared" si="3"/>
        <v>----</v>
      </c>
    </row>
    <row r="6" spans="1:10">
      <c r="A6" s="102">
        <v>44635</v>
      </c>
      <c r="B6" s="103" t="s">
        <v>504</v>
      </c>
      <c r="C6" s="87">
        <v>651352.75</v>
      </c>
      <c r="D6" s="468">
        <f t="shared" si="0"/>
        <v>651352.75</v>
      </c>
      <c r="E6" s="475">
        <v>656835.97</v>
      </c>
      <c r="F6" s="474">
        <f t="shared" si="1"/>
        <v>5483.2199999999721</v>
      </c>
      <c r="G6" s="475" t="s">
        <v>703</v>
      </c>
      <c r="H6" s="474" t="str">
        <f t="shared" si="2"/>
        <v>----</v>
      </c>
      <c r="I6" s="488" t="s">
        <v>703</v>
      </c>
      <c r="J6" s="83" t="str">
        <f t="shared" si="3"/>
        <v>----</v>
      </c>
    </row>
    <row r="7" spans="1:10">
      <c r="A7" s="102">
        <v>44944</v>
      </c>
      <c r="B7" s="103" t="s">
        <v>629</v>
      </c>
      <c r="C7" s="87">
        <v>485307.25</v>
      </c>
      <c r="D7" s="468">
        <f t="shared" si="0"/>
        <v>485307.25</v>
      </c>
      <c r="E7" s="475"/>
      <c r="F7" s="474" t="str">
        <f t="shared" si="1"/>
        <v>----</v>
      </c>
      <c r="G7" s="475"/>
      <c r="H7" s="474" t="str">
        <f t="shared" si="2"/>
        <v>----</v>
      </c>
      <c r="I7" s="488"/>
      <c r="J7" s="83" t="str">
        <f t="shared" si="3"/>
        <v>----</v>
      </c>
    </row>
    <row r="8" spans="1:10">
      <c r="A8" s="102">
        <v>45279</v>
      </c>
      <c r="B8" s="103" t="s">
        <v>691</v>
      </c>
      <c r="C8" s="87">
        <v>432049</v>
      </c>
      <c r="D8" s="468">
        <f t="shared" si="0"/>
        <v>432049</v>
      </c>
      <c r="E8" s="475"/>
      <c r="F8" s="474" t="str">
        <f t="shared" si="1"/>
        <v>----</v>
      </c>
      <c r="G8" s="475"/>
      <c r="H8" s="474" t="str">
        <f t="shared" si="2"/>
        <v>----</v>
      </c>
      <c r="I8" s="488"/>
      <c r="J8" s="83" t="str">
        <f t="shared" si="3"/>
        <v>----</v>
      </c>
    </row>
    <row r="9" spans="1:10">
      <c r="A9" s="102">
        <v>45398</v>
      </c>
      <c r="B9" s="452" t="s">
        <v>739</v>
      </c>
      <c r="C9" s="372">
        <v>801043.5</v>
      </c>
      <c r="D9" s="565">
        <f t="shared" si="0"/>
        <v>801043.5</v>
      </c>
      <c r="E9" s="475"/>
      <c r="F9" s="474" t="str">
        <f t="shared" si="1"/>
        <v>----</v>
      </c>
      <c r="G9" s="475"/>
      <c r="H9" s="474" t="str">
        <f t="shared" si="2"/>
        <v>----</v>
      </c>
      <c r="I9" s="488"/>
      <c r="J9" s="83" t="str">
        <f t="shared" si="3"/>
        <v>----</v>
      </c>
    </row>
    <row r="10" spans="1:10">
      <c r="A10" s="102"/>
      <c r="B10" s="103"/>
      <c r="C10" s="87"/>
      <c r="D10" s="468"/>
      <c r="E10" s="475"/>
      <c r="F10" s="474" t="str">
        <f t="shared" si="1"/>
        <v>----</v>
      </c>
      <c r="G10" s="475"/>
      <c r="H10" s="474" t="str">
        <f t="shared" si="2"/>
        <v>----</v>
      </c>
      <c r="I10" s="488"/>
      <c r="J10" s="83" t="str">
        <f t="shared" si="3"/>
        <v>----</v>
      </c>
    </row>
    <row r="11" spans="1:10">
      <c r="A11" s="102"/>
      <c r="B11" s="103"/>
      <c r="C11" s="87"/>
      <c r="D11" s="468"/>
      <c r="E11" s="475"/>
      <c r="F11" s="474" t="str">
        <f t="shared" si="1"/>
        <v>----</v>
      </c>
      <c r="G11" s="475"/>
      <c r="H11" s="474" t="str">
        <f t="shared" si="2"/>
        <v>----</v>
      </c>
      <c r="I11" s="488"/>
      <c r="J11" s="83" t="str">
        <f t="shared" si="3"/>
        <v>----</v>
      </c>
    </row>
    <row r="12" spans="1:10">
      <c r="A12" s="102"/>
      <c r="B12" s="103"/>
      <c r="C12" s="87"/>
      <c r="D12" s="468"/>
      <c r="E12" s="475"/>
      <c r="F12" s="474" t="str">
        <f t="shared" si="1"/>
        <v>----</v>
      </c>
      <c r="G12" s="475"/>
      <c r="H12" s="474" t="str">
        <f t="shared" si="2"/>
        <v>----</v>
      </c>
      <c r="I12" s="488"/>
      <c r="J12" s="83" t="str">
        <f t="shared" si="3"/>
        <v>----</v>
      </c>
    </row>
    <row r="13" spans="1:10">
      <c r="A13" s="102"/>
      <c r="B13" s="103"/>
      <c r="C13" s="87"/>
      <c r="D13" s="468"/>
      <c r="E13" s="475"/>
      <c r="F13" s="474" t="str">
        <f t="shared" si="1"/>
        <v>----</v>
      </c>
      <c r="G13" s="475"/>
      <c r="H13" s="474" t="str">
        <f t="shared" si="2"/>
        <v>----</v>
      </c>
      <c r="I13" s="488"/>
      <c r="J13" s="83" t="str">
        <f t="shared" si="3"/>
        <v>----</v>
      </c>
    </row>
    <row r="14" spans="1:10">
      <c r="A14" s="102"/>
      <c r="B14" s="103"/>
      <c r="C14" s="87"/>
      <c r="D14" s="468"/>
      <c r="E14" s="475"/>
      <c r="F14" s="474" t="str">
        <f t="shared" si="1"/>
        <v>----</v>
      </c>
      <c r="G14" s="475"/>
      <c r="H14" s="474" t="str">
        <f t="shared" si="2"/>
        <v>----</v>
      </c>
      <c r="I14" s="488"/>
      <c r="J14" s="83" t="str">
        <f t="shared" si="3"/>
        <v>----</v>
      </c>
    </row>
    <row r="15" spans="1:10">
      <c r="A15" s="102"/>
      <c r="B15" s="103"/>
      <c r="C15" s="87"/>
      <c r="D15" s="468"/>
      <c r="E15" s="475"/>
      <c r="F15" s="474" t="str">
        <f t="shared" si="1"/>
        <v>----</v>
      </c>
      <c r="G15" s="475"/>
      <c r="H15" s="474" t="str">
        <f t="shared" si="2"/>
        <v>----</v>
      </c>
      <c r="I15" s="488"/>
      <c r="J15" s="83" t="str">
        <f t="shared" si="3"/>
        <v>----</v>
      </c>
    </row>
    <row r="16" spans="1:10">
      <c r="A16" s="102"/>
      <c r="B16" s="103"/>
      <c r="C16" s="87"/>
      <c r="D16" s="468"/>
      <c r="E16" s="475"/>
      <c r="F16" s="474" t="str">
        <f t="shared" si="1"/>
        <v>----</v>
      </c>
      <c r="G16" s="475"/>
      <c r="H16" s="474" t="str">
        <f t="shared" si="2"/>
        <v>----</v>
      </c>
      <c r="I16" s="488"/>
      <c r="J16" s="83" t="str">
        <f t="shared" si="3"/>
        <v>----</v>
      </c>
    </row>
    <row r="17" spans="1:10">
      <c r="A17" s="102"/>
      <c r="B17" s="103"/>
      <c r="C17" s="87"/>
      <c r="D17" s="468"/>
      <c r="E17" s="475"/>
      <c r="F17" s="474" t="str">
        <f t="shared" si="1"/>
        <v>----</v>
      </c>
      <c r="G17" s="475"/>
      <c r="H17" s="474" t="str">
        <f t="shared" si="2"/>
        <v>----</v>
      </c>
      <c r="I17" s="488"/>
      <c r="J17" s="83" t="str">
        <f t="shared" si="3"/>
        <v>----</v>
      </c>
    </row>
    <row r="18" spans="1:10">
      <c r="A18" s="102"/>
      <c r="B18" s="103"/>
      <c r="C18" s="87"/>
      <c r="D18" s="468"/>
      <c r="E18" s="475"/>
      <c r="F18" s="474" t="str">
        <f t="shared" si="1"/>
        <v>----</v>
      </c>
      <c r="G18" s="475"/>
      <c r="H18" s="474" t="str">
        <f t="shared" si="2"/>
        <v>----</v>
      </c>
      <c r="I18" s="488"/>
      <c r="J18" s="83" t="str">
        <f t="shared" si="3"/>
        <v>----</v>
      </c>
    </row>
    <row r="19" spans="1:10">
      <c r="A19" s="102"/>
      <c r="B19" s="103"/>
      <c r="C19" s="87"/>
      <c r="D19" s="468"/>
      <c r="E19" s="475"/>
      <c r="F19" s="474" t="str">
        <f t="shared" si="1"/>
        <v>----</v>
      </c>
      <c r="G19" s="475"/>
      <c r="H19" s="474" t="str">
        <f t="shared" si="2"/>
        <v>----</v>
      </c>
      <c r="I19" s="488"/>
      <c r="J19" s="83" t="str">
        <f t="shared" si="3"/>
        <v>----</v>
      </c>
    </row>
    <row r="20" spans="1:10">
      <c r="A20" s="102"/>
      <c r="B20" s="103"/>
      <c r="C20" s="87"/>
      <c r="D20" s="468"/>
      <c r="E20" s="475"/>
      <c r="F20" s="474" t="str">
        <f t="shared" si="1"/>
        <v>----</v>
      </c>
      <c r="G20" s="475"/>
      <c r="H20" s="474" t="str">
        <f t="shared" si="2"/>
        <v>----</v>
      </c>
      <c r="I20" s="488"/>
      <c r="J20" s="83" t="str">
        <f t="shared" si="3"/>
        <v>----</v>
      </c>
    </row>
    <row r="21" spans="1:10">
      <c r="A21" s="116"/>
      <c r="B21" s="117"/>
      <c r="C21" s="118"/>
      <c r="D21" s="469"/>
      <c r="E21" s="476"/>
      <c r="F21" s="474" t="str">
        <f t="shared" si="1"/>
        <v>----</v>
      </c>
      <c r="G21" s="476"/>
      <c r="H21" s="474" t="str">
        <f t="shared" si="2"/>
        <v>----</v>
      </c>
      <c r="I21" s="490"/>
      <c r="J21" s="83" t="str">
        <f t="shared" si="3"/>
        <v>----</v>
      </c>
    </row>
    <row r="22" spans="1:10" ht="15.75" thickBot="1">
      <c r="A22" s="74"/>
      <c r="B22" s="75"/>
      <c r="C22" s="76"/>
      <c r="D22" s="432"/>
      <c r="E22" s="477"/>
      <c r="F22" s="478" t="str">
        <f t="shared" si="1"/>
        <v>----</v>
      </c>
      <c r="G22" s="477"/>
      <c r="H22" s="478" t="str">
        <f t="shared" si="2"/>
        <v>----</v>
      </c>
      <c r="I22" s="483"/>
      <c r="J22" s="77" t="str">
        <f t="shared" si="3"/>
        <v>----</v>
      </c>
    </row>
    <row r="23" spans="1:10" ht="15.75" thickBot="1">
      <c r="A23" s="27"/>
      <c r="B23" s="27"/>
      <c r="C23" s="28"/>
      <c r="D23" s="28"/>
      <c r="E23" s="441"/>
      <c r="F23" s="443">
        <f>SUM(F4:F22)</f>
        <v>3944.8699999999953</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5" sqref="G15"/>
    </sheetView>
  </sheetViews>
  <sheetFormatPr defaultRowHeight="15"/>
  <cols>
    <col min="2" max="2" width="22.7109375" bestFit="1" customWidth="1"/>
    <col min="3" max="3" width="12" bestFit="1" customWidth="1"/>
    <col min="4" max="4" width="12" customWidth="1"/>
    <col min="5" max="5" width="10.7109375" style="434" customWidth="1"/>
    <col min="6" max="6" width="14.140625" style="434" customWidth="1"/>
    <col min="7" max="7" width="10.7109375" style="434" customWidth="1"/>
    <col min="8" max="8" width="14.140625" style="434" customWidth="1"/>
    <col min="9" max="9" width="10.7109375" customWidth="1"/>
    <col min="10" max="10" width="14.140625" customWidth="1"/>
  </cols>
  <sheetData>
    <row r="1" spans="1:11" ht="15.75" thickBot="1">
      <c r="A1" s="958" t="s">
        <v>184</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43852</v>
      </c>
      <c r="B4" s="71" t="s">
        <v>197</v>
      </c>
      <c r="C4" s="787">
        <v>327863.76</v>
      </c>
      <c r="D4" s="793">
        <f>C4</f>
        <v>327863.76</v>
      </c>
      <c r="E4" s="800">
        <v>317591.09999999998</v>
      </c>
      <c r="F4" s="809">
        <f t="shared" ref="F4:F23" si="0">IF(ISBLANK(E4),"----",E4-D4)</f>
        <v>-10272.660000000033</v>
      </c>
      <c r="G4" s="800" t="s">
        <v>703</v>
      </c>
      <c r="H4" s="809" t="str">
        <f t="shared" ref="H4:H23" si="1">IF(OR(G4="Complete",ISBLANK(G4)),"----",G4-$D4)</f>
        <v>----</v>
      </c>
      <c r="I4" s="797" t="s">
        <v>703</v>
      </c>
      <c r="J4" s="810" t="str">
        <f t="shared" ref="J4:J23" si="2">IF(OR(I4="Complete",ISBLANK(I4)),"----",I4-$D4)</f>
        <v>----</v>
      </c>
    </row>
    <row r="5" spans="1:11">
      <c r="A5" s="91">
        <v>43942</v>
      </c>
      <c r="B5" s="92" t="s">
        <v>242</v>
      </c>
      <c r="C5" s="788">
        <v>276859.71999999997</v>
      </c>
      <c r="D5" s="803">
        <v>72034.720000000001</v>
      </c>
      <c r="E5" s="805">
        <v>69979.679999999993</v>
      </c>
      <c r="F5" s="864">
        <f t="shared" si="0"/>
        <v>-2055.0400000000081</v>
      </c>
      <c r="G5" s="805" t="s">
        <v>703</v>
      </c>
      <c r="H5" s="864" t="str">
        <f t="shared" si="1"/>
        <v>----</v>
      </c>
      <c r="I5" s="804" t="s">
        <v>703</v>
      </c>
      <c r="J5" s="865" t="str">
        <f t="shared" si="2"/>
        <v>----</v>
      </c>
    </row>
    <row r="6" spans="1:11">
      <c r="A6" s="102">
        <v>44216</v>
      </c>
      <c r="B6" s="103" t="s">
        <v>378</v>
      </c>
      <c r="C6" s="776">
        <v>362056.95</v>
      </c>
      <c r="D6" s="735">
        <f>C6</f>
        <v>362056.95</v>
      </c>
      <c r="E6" s="745">
        <v>364598.14</v>
      </c>
      <c r="F6" s="864">
        <f t="shared" si="0"/>
        <v>2541.1900000000023</v>
      </c>
      <c r="G6" s="745" t="s">
        <v>703</v>
      </c>
      <c r="H6" s="864" t="str">
        <f t="shared" si="1"/>
        <v>----</v>
      </c>
      <c r="I6" s="740" t="s">
        <v>703</v>
      </c>
      <c r="J6" s="865" t="str">
        <f t="shared" si="2"/>
        <v>----</v>
      </c>
    </row>
    <row r="7" spans="1:11">
      <c r="A7" s="102">
        <v>44551</v>
      </c>
      <c r="B7" s="258" t="s">
        <v>483</v>
      </c>
      <c r="C7" s="776">
        <v>407823.62</v>
      </c>
      <c r="D7" s="735">
        <f>C7</f>
        <v>407823.62</v>
      </c>
      <c r="E7" s="745">
        <v>402076.73</v>
      </c>
      <c r="F7" s="864">
        <f t="shared" si="0"/>
        <v>-5746.890000000014</v>
      </c>
      <c r="G7" s="745" t="s">
        <v>703</v>
      </c>
      <c r="H7" s="864" t="str">
        <f t="shared" si="1"/>
        <v>----</v>
      </c>
      <c r="I7" s="740" t="s">
        <v>703</v>
      </c>
      <c r="J7" s="865" t="str">
        <f t="shared" si="2"/>
        <v>----</v>
      </c>
    </row>
    <row r="8" spans="1:11">
      <c r="A8" s="102">
        <v>44607</v>
      </c>
      <c r="B8" s="258" t="s">
        <v>626</v>
      </c>
      <c r="C8" s="776">
        <v>1366530.48</v>
      </c>
      <c r="D8" s="735">
        <v>279268.59999999998</v>
      </c>
      <c r="E8" s="745"/>
      <c r="F8" s="864" t="str">
        <f t="shared" si="0"/>
        <v>----</v>
      </c>
      <c r="G8" s="745"/>
      <c r="H8" s="864" t="str">
        <f t="shared" si="1"/>
        <v>----</v>
      </c>
      <c r="I8" s="740"/>
      <c r="J8" s="865" t="str">
        <f t="shared" si="2"/>
        <v>----</v>
      </c>
      <c r="K8" t="s">
        <v>627</v>
      </c>
    </row>
    <row r="9" spans="1:11">
      <c r="A9" s="102">
        <v>44915</v>
      </c>
      <c r="B9" s="103" t="s">
        <v>615</v>
      </c>
      <c r="C9" s="776">
        <v>510316.15</v>
      </c>
      <c r="D9" s="735">
        <f>C9</f>
        <v>510316.15</v>
      </c>
      <c r="E9" s="745"/>
      <c r="F9" s="864" t="str">
        <f t="shared" si="0"/>
        <v>----</v>
      </c>
      <c r="G9" s="745">
        <v>511678.65</v>
      </c>
      <c r="H9" s="864">
        <f t="shared" si="1"/>
        <v>1362.5</v>
      </c>
      <c r="I9" s="740"/>
      <c r="J9" s="865" t="str">
        <f t="shared" si="2"/>
        <v>----</v>
      </c>
    </row>
    <row r="10" spans="1:11">
      <c r="A10" s="102">
        <v>45370</v>
      </c>
      <c r="B10" s="103" t="s">
        <v>733</v>
      </c>
      <c r="C10" s="776">
        <v>659050.01</v>
      </c>
      <c r="D10" s="735">
        <f>C10</f>
        <v>659050.01</v>
      </c>
      <c r="E10" s="745"/>
      <c r="F10" s="864" t="str">
        <f t="shared" si="0"/>
        <v>----</v>
      </c>
      <c r="G10" s="745"/>
      <c r="H10" s="864" t="str">
        <f t="shared" si="1"/>
        <v>----</v>
      </c>
      <c r="I10" s="740"/>
      <c r="J10" s="865" t="str">
        <f t="shared" si="2"/>
        <v>----</v>
      </c>
    </row>
    <row r="11" spans="1:11">
      <c r="A11" s="102">
        <v>45797</v>
      </c>
      <c r="B11" s="727" t="s">
        <v>873</v>
      </c>
      <c r="C11" s="776">
        <v>838711.73</v>
      </c>
      <c r="D11" s="735">
        <f>C11</f>
        <v>838711.73</v>
      </c>
      <c r="E11" s="745"/>
      <c r="F11" s="864" t="str">
        <f t="shared" si="0"/>
        <v>----</v>
      </c>
      <c r="G11" s="745"/>
      <c r="H11" s="864" t="str">
        <f t="shared" si="1"/>
        <v>----</v>
      </c>
      <c r="I11" s="740"/>
      <c r="J11" s="865" t="str">
        <f t="shared" si="2"/>
        <v>----</v>
      </c>
    </row>
    <row r="12" spans="1:11">
      <c r="A12" s="102"/>
      <c r="B12" s="103"/>
      <c r="C12" s="776"/>
      <c r="D12" s="735"/>
      <c r="E12" s="745"/>
      <c r="F12" s="864" t="str">
        <f t="shared" si="0"/>
        <v>----</v>
      </c>
      <c r="G12" s="745"/>
      <c r="H12" s="864" t="str">
        <f t="shared" si="1"/>
        <v>----</v>
      </c>
      <c r="I12" s="740"/>
      <c r="J12" s="865" t="str">
        <f t="shared" si="2"/>
        <v>----</v>
      </c>
    </row>
    <row r="13" spans="1:11">
      <c r="A13" s="102"/>
      <c r="B13" s="103"/>
      <c r="C13" s="776"/>
      <c r="D13" s="735"/>
      <c r="E13" s="745"/>
      <c r="F13" s="864" t="str">
        <f t="shared" si="0"/>
        <v>----</v>
      </c>
      <c r="G13" s="745"/>
      <c r="H13" s="864" t="str">
        <f t="shared" si="1"/>
        <v>----</v>
      </c>
      <c r="I13" s="740"/>
      <c r="J13" s="865" t="str">
        <f t="shared" si="2"/>
        <v>----</v>
      </c>
    </row>
    <row r="14" spans="1:11">
      <c r="A14" s="102"/>
      <c r="B14" s="103"/>
      <c r="C14" s="776"/>
      <c r="D14" s="735"/>
      <c r="E14" s="745"/>
      <c r="F14" s="864" t="str">
        <f t="shared" si="0"/>
        <v>----</v>
      </c>
      <c r="G14" s="745"/>
      <c r="H14" s="864" t="str">
        <f t="shared" si="1"/>
        <v>----</v>
      </c>
      <c r="I14" s="740"/>
      <c r="J14" s="865" t="str">
        <f t="shared" si="2"/>
        <v>----</v>
      </c>
    </row>
    <row r="15" spans="1:11">
      <c r="A15" s="102"/>
      <c r="B15" s="103"/>
      <c r="C15" s="776"/>
      <c r="D15" s="735"/>
      <c r="E15" s="745"/>
      <c r="F15" s="864" t="str">
        <f t="shared" si="0"/>
        <v>----</v>
      </c>
      <c r="G15" s="745"/>
      <c r="H15" s="864" t="str">
        <f t="shared" si="1"/>
        <v>----</v>
      </c>
      <c r="I15" s="740"/>
      <c r="J15" s="865" t="str">
        <f t="shared" si="2"/>
        <v>----</v>
      </c>
    </row>
    <row r="16" spans="1:11">
      <c r="A16" s="102"/>
      <c r="B16" s="103"/>
      <c r="C16" s="776"/>
      <c r="D16" s="735"/>
      <c r="E16" s="745"/>
      <c r="F16" s="864" t="str">
        <f t="shared" si="0"/>
        <v>----</v>
      </c>
      <c r="G16" s="745"/>
      <c r="H16" s="864" t="str">
        <f t="shared" si="1"/>
        <v>----</v>
      </c>
      <c r="I16" s="740"/>
      <c r="J16" s="865" t="str">
        <f t="shared" si="2"/>
        <v>----</v>
      </c>
    </row>
    <row r="17" spans="1:10">
      <c r="A17" s="102"/>
      <c r="B17" s="103"/>
      <c r="C17" s="776"/>
      <c r="D17" s="735"/>
      <c r="E17" s="745"/>
      <c r="F17" s="864" t="str">
        <f t="shared" si="0"/>
        <v>----</v>
      </c>
      <c r="G17" s="745"/>
      <c r="H17" s="864" t="str">
        <f t="shared" si="1"/>
        <v>----</v>
      </c>
      <c r="I17" s="740"/>
      <c r="J17" s="865" t="str">
        <f t="shared" si="2"/>
        <v>----</v>
      </c>
    </row>
    <row r="18" spans="1:10">
      <c r="A18" s="102"/>
      <c r="B18" s="103"/>
      <c r="C18" s="776"/>
      <c r="D18" s="735"/>
      <c r="E18" s="745"/>
      <c r="F18" s="864" t="str">
        <f t="shared" si="0"/>
        <v>----</v>
      </c>
      <c r="G18" s="745"/>
      <c r="H18" s="864" t="str">
        <f t="shared" si="1"/>
        <v>----</v>
      </c>
      <c r="I18" s="740"/>
      <c r="J18" s="865" t="str">
        <f t="shared" si="2"/>
        <v>----</v>
      </c>
    </row>
    <row r="19" spans="1:10">
      <c r="A19" s="102"/>
      <c r="B19" s="103"/>
      <c r="C19" s="776"/>
      <c r="D19" s="735"/>
      <c r="E19" s="745"/>
      <c r="F19" s="864" t="str">
        <f t="shared" si="0"/>
        <v>----</v>
      </c>
      <c r="G19" s="745"/>
      <c r="H19" s="864" t="str">
        <f t="shared" si="1"/>
        <v>----</v>
      </c>
      <c r="I19" s="740"/>
      <c r="J19" s="865" t="str">
        <f t="shared" si="2"/>
        <v>----</v>
      </c>
    </row>
    <row r="20" spans="1:10">
      <c r="A20" s="102"/>
      <c r="B20" s="103"/>
      <c r="C20" s="776"/>
      <c r="D20" s="735"/>
      <c r="E20" s="745"/>
      <c r="F20" s="864" t="str">
        <f t="shared" si="0"/>
        <v>----</v>
      </c>
      <c r="G20" s="745"/>
      <c r="H20" s="864" t="str">
        <f t="shared" si="1"/>
        <v>----</v>
      </c>
      <c r="I20" s="740"/>
      <c r="J20" s="865" t="str">
        <f t="shared" si="2"/>
        <v>----</v>
      </c>
    </row>
    <row r="21" spans="1:10">
      <c r="A21" s="102"/>
      <c r="B21" s="103"/>
      <c r="C21" s="776"/>
      <c r="D21" s="735"/>
      <c r="E21" s="745"/>
      <c r="F21" s="864" t="str">
        <f t="shared" si="0"/>
        <v>----</v>
      </c>
      <c r="G21" s="745"/>
      <c r="H21" s="864" t="str">
        <f t="shared" si="1"/>
        <v>----</v>
      </c>
      <c r="I21" s="740"/>
      <c r="J21" s="865" t="str">
        <f t="shared" si="2"/>
        <v>----</v>
      </c>
    </row>
    <row r="22" spans="1:10">
      <c r="A22" s="116"/>
      <c r="B22" s="117"/>
      <c r="C22" s="779"/>
      <c r="D22" s="795"/>
      <c r="E22" s="746"/>
      <c r="F22" s="864" t="str">
        <f t="shared" si="0"/>
        <v>----</v>
      </c>
      <c r="G22" s="746"/>
      <c r="H22" s="864" t="str">
        <f t="shared" si="1"/>
        <v>----</v>
      </c>
      <c r="I22" s="741"/>
      <c r="J22" s="865"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28"/>
      <c r="D24" s="28"/>
      <c r="E24" s="441"/>
      <c r="F24" s="443">
        <f>SUM(F4:F23)</f>
        <v>-15533.400000000052</v>
      </c>
      <c r="G24" s="441"/>
      <c r="H24" s="443">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4" bestFit="1" customWidth="1"/>
    <col min="6" max="6" width="9.85546875" style="434" bestFit="1" customWidth="1"/>
    <col min="7" max="7" width="12" style="434" bestFit="1" customWidth="1"/>
    <col min="8" max="8" width="9.85546875" style="434" bestFit="1" customWidth="1"/>
    <col min="9" max="9" width="12" bestFit="1" customWidth="1"/>
    <col min="10" max="10" width="11.28515625" customWidth="1"/>
  </cols>
  <sheetData>
    <row r="1" spans="1:10" ht="15.75" thickBot="1">
      <c r="A1" s="958" t="s">
        <v>266</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43998</v>
      </c>
      <c r="B4" s="71" t="s">
        <v>294</v>
      </c>
      <c r="C4" s="787">
        <v>1544905.43</v>
      </c>
      <c r="D4" s="793">
        <f>C4</f>
        <v>1544905.43</v>
      </c>
      <c r="E4" s="800">
        <v>1591872.42</v>
      </c>
      <c r="F4" s="809">
        <f t="shared" ref="F4:F23" si="0">IF(ISBLANK(E4),"----",E4-D4)</f>
        <v>46966.989999999991</v>
      </c>
      <c r="G4" s="800" t="s">
        <v>703</v>
      </c>
      <c r="H4" s="809" t="str">
        <f t="shared" ref="H4:H23" si="1">IF(OR(G4="Complete",ISBLANK(G4)),"----",G4-$D4)</f>
        <v>----</v>
      </c>
      <c r="I4" s="797" t="s">
        <v>703</v>
      </c>
      <c r="J4" s="810" t="str">
        <f t="shared" ref="J4:J23" si="2">IF(OR(I4="Complete",ISBLANK(I4)),"----",I4-$D4)</f>
        <v>----</v>
      </c>
    </row>
    <row r="5" spans="1:10">
      <c r="A5" s="988">
        <v>44460</v>
      </c>
      <c r="B5" s="101" t="s">
        <v>454</v>
      </c>
      <c r="C5" s="790">
        <v>1074811.21</v>
      </c>
      <c r="D5" s="794">
        <v>829021.21</v>
      </c>
      <c r="E5" s="801">
        <v>828573</v>
      </c>
      <c r="F5" s="813">
        <f t="shared" si="0"/>
        <v>-448.20999999996275</v>
      </c>
      <c r="G5" s="801" t="s">
        <v>703</v>
      </c>
      <c r="H5" s="813" t="str">
        <f t="shared" si="1"/>
        <v>----</v>
      </c>
      <c r="I5" s="798" t="s">
        <v>703</v>
      </c>
      <c r="J5" s="814" t="str">
        <f t="shared" si="2"/>
        <v>----</v>
      </c>
    </row>
    <row r="6" spans="1:10">
      <c r="A6" s="989"/>
      <c r="B6" s="92" t="s">
        <v>455</v>
      </c>
      <c r="C6" s="788">
        <v>1401033.03</v>
      </c>
      <c r="D6" s="803">
        <v>991383.03</v>
      </c>
      <c r="E6" s="805">
        <v>983685.24</v>
      </c>
      <c r="F6" s="668">
        <f t="shared" si="0"/>
        <v>-7697.7900000000373</v>
      </c>
      <c r="G6" s="805" t="s">
        <v>703</v>
      </c>
      <c r="H6" s="668" t="str">
        <f t="shared" si="1"/>
        <v>----</v>
      </c>
      <c r="I6" s="804" t="s">
        <v>703</v>
      </c>
      <c r="J6" s="669" t="str">
        <f t="shared" si="2"/>
        <v>----</v>
      </c>
    </row>
    <row r="7" spans="1:10">
      <c r="A7" s="223">
        <v>44944</v>
      </c>
      <c r="B7" s="117" t="s">
        <v>630</v>
      </c>
      <c r="C7" s="779">
        <v>1076454.8899999999</v>
      </c>
      <c r="D7" s="795">
        <f>C7</f>
        <v>1076454.8899999999</v>
      </c>
      <c r="E7" s="746"/>
      <c r="F7" s="780" t="str">
        <f t="shared" si="0"/>
        <v>----</v>
      </c>
      <c r="G7" s="746"/>
      <c r="H7" s="780" t="str">
        <f t="shared" si="1"/>
        <v>----</v>
      </c>
      <c r="I7" s="741">
        <v>1240673.22</v>
      </c>
      <c r="J7" s="781">
        <f t="shared" si="2"/>
        <v>164218.33000000007</v>
      </c>
    </row>
    <row r="8" spans="1:10">
      <c r="A8" s="223">
        <v>45279</v>
      </c>
      <c r="B8" s="117" t="s">
        <v>692</v>
      </c>
      <c r="C8" s="779">
        <v>1538699.68</v>
      </c>
      <c r="D8" s="795">
        <f>C8</f>
        <v>1538699.68</v>
      </c>
      <c r="E8" s="746"/>
      <c r="F8" s="780" t="str">
        <f t="shared" si="0"/>
        <v>----</v>
      </c>
      <c r="G8" s="746"/>
      <c r="H8" s="780" t="str">
        <f t="shared" si="1"/>
        <v>----</v>
      </c>
      <c r="I8" s="741"/>
      <c r="J8" s="781" t="str">
        <f t="shared" si="2"/>
        <v>----</v>
      </c>
    </row>
    <row r="9" spans="1:10">
      <c r="A9" s="223">
        <v>45679</v>
      </c>
      <c r="B9" s="455" t="s">
        <v>813</v>
      </c>
      <c r="C9" s="779">
        <v>2233387.4700000002</v>
      </c>
      <c r="D9" s="795">
        <f>C9</f>
        <v>2233387.4700000002</v>
      </c>
      <c r="E9" s="746"/>
      <c r="F9" s="780" t="str">
        <f t="shared" si="0"/>
        <v>----</v>
      </c>
      <c r="G9" s="746"/>
      <c r="H9" s="780" t="str">
        <f t="shared" si="1"/>
        <v>----</v>
      </c>
      <c r="I9" s="741"/>
      <c r="J9" s="781" t="str">
        <f t="shared" si="2"/>
        <v>----</v>
      </c>
    </row>
    <row r="10" spans="1:10">
      <c r="A10" s="223">
        <v>45706</v>
      </c>
      <c r="B10" s="455" t="s">
        <v>838</v>
      </c>
      <c r="C10" s="779">
        <v>1723742.19</v>
      </c>
      <c r="D10" s="795">
        <f>C10</f>
        <v>1723742.19</v>
      </c>
      <c r="E10" s="746"/>
      <c r="F10" s="780" t="str">
        <f t="shared" si="0"/>
        <v>----</v>
      </c>
      <c r="G10" s="746"/>
      <c r="H10" s="780" t="str">
        <f t="shared" si="1"/>
        <v>----</v>
      </c>
      <c r="I10" s="741"/>
      <c r="J10" s="781" t="str">
        <f t="shared" si="2"/>
        <v>----</v>
      </c>
    </row>
    <row r="11" spans="1:10">
      <c r="A11" s="223">
        <v>45706</v>
      </c>
      <c r="B11" s="455" t="s">
        <v>839</v>
      </c>
      <c r="C11" s="779">
        <v>806718.4</v>
      </c>
      <c r="D11" s="795">
        <f>C11</f>
        <v>806718.4</v>
      </c>
      <c r="E11" s="746"/>
      <c r="F11" s="780" t="str">
        <f t="shared" si="0"/>
        <v>----</v>
      </c>
      <c r="G11" s="746"/>
      <c r="H11" s="780" t="str">
        <f t="shared" si="1"/>
        <v>----</v>
      </c>
      <c r="I11" s="741"/>
      <c r="J11" s="781" t="str">
        <f t="shared" si="2"/>
        <v>----</v>
      </c>
    </row>
    <row r="12" spans="1:10">
      <c r="A12" s="223"/>
      <c r="B12" s="117"/>
      <c r="C12" s="779"/>
      <c r="D12" s="795"/>
      <c r="E12" s="746"/>
      <c r="F12" s="780" t="str">
        <f t="shared" si="0"/>
        <v>----</v>
      </c>
      <c r="G12" s="746"/>
      <c r="H12" s="780" t="str">
        <f t="shared" si="1"/>
        <v>----</v>
      </c>
      <c r="I12" s="741"/>
      <c r="J12" s="781" t="str">
        <f t="shared" si="2"/>
        <v>----</v>
      </c>
    </row>
    <row r="13" spans="1:10">
      <c r="A13" s="223"/>
      <c r="B13" s="117"/>
      <c r="C13" s="779"/>
      <c r="D13" s="795"/>
      <c r="E13" s="746"/>
      <c r="F13" s="780" t="str">
        <f t="shared" si="0"/>
        <v>----</v>
      </c>
      <c r="G13" s="746"/>
      <c r="H13" s="780" t="str">
        <f t="shared" si="1"/>
        <v>----</v>
      </c>
      <c r="I13" s="741"/>
      <c r="J13" s="781" t="str">
        <f t="shared" si="2"/>
        <v>----</v>
      </c>
    </row>
    <row r="14" spans="1:10">
      <c r="A14" s="223"/>
      <c r="B14" s="117"/>
      <c r="C14" s="779"/>
      <c r="D14" s="795"/>
      <c r="E14" s="746"/>
      <c r="F14" s="780" t="str">
        <f t="shared" si="0"/>
        <v>----</v>
      </c>
      <c r="G14" s="746"/>
      <c r="H14" s="780" t="str">
        <f t="shared" si="1"/>
        <v>----</v>
      </c>
      <c r="I14" s="741"/>
      <c r="J14" s="781" t="str">
        <f t="shared" si="2"/>
        <v>----</v>
      </c>
    </row>
    <row r="15" spans="1:10">
      <c r="A15" s="223"/>
      <c r="B15" s="117"/>
      <c r="C15" s="779"/>
      <c r="D15" s="795"/>
      <c r="E15" s="746"/>
      <c r="F15" s="780" t="str">
        <f t="shared" si="0"/>
        <v>----</v>
      </c>
      <c r="G15" s="746"/>
      <c r="H15" s="780" t="str">
        <f t="shared" si="1"/>
        <v>----</v>
      </c>
      <c r="I15" s="741"/>
      <c r="J15" s="781" t="str">
        <f t="shared" si="2"/>
        <v>----</v>
      </c>
    </row>
    <row r="16" spans="1:10">
      <c r="A16" s="223"/>
      <c r="B16" s="117"/>
      <c r="C16" s="779"/>
      <c r="D16" s="795"/>
      <c r="E16" s="746"/>
      <c r="F16" s="780" t="str">
        <f t="shared" si="0"/>
        <v>----</v>
      </c>
      <c r="G16" s="746"/>
      <c r="H16" s="780" t="str">
        <f t="shared" si="1"/>
        <v>----</v>
      </c>
      <c r="I16" s="741"/>
      <c r="J16" s="781" t="str">
        <f t="shared" si="2"/>
        <v>----</v>
      </c>
    </row>
    <row r="17" spans="1:10">
      <c r="A17" s="223"/>
      <c r="B17" s="117"/>
      <c r="C17" s="779"/>
      <c r="D17" s="795"/>
      <c r="E17" s="746"/>
      <c r="F17" s="780" t="str">
        <f t="shared" si="0"/>
        <v>----</v>
      </c>
      <c r="G17" s="746"/>
      <c r="H17" s="780" t="str">
        <f t="shared" si="1"/>
        <v>----</v>
      </c>
      <c r="I17" s="741"/>
      <c r="J17" s="781" t="str">
        <f t="shared" si="2"/>
        <v>----</v>
      </c>
    </row>
    <row r="18" spans="1:10">
      <c r="A18" s="223"/>
      <c r="B18" s="117"/>
      <c r="C18" s="779"/>
      <c r="D18" s="795"/>
      <c r="E18" s="746"/>
      <c r="F18" s="780" t="str">
        <f t="shared" si="0"/>
        <v>----</v>
      </c>
      <c r="G18" s="746"/>
      <c r="H18" s="780" t="str">
        <f t="shared" si="1"/>
        <v>----</v>
      </c>
      <c r="I18" s="741"/>
      <c r="J18" s="781" t="str">
        <f t="shared" si="2"/>
        <v>----</v>
      </c>
    </row>
    <row r="19" spans="1:10">
      <c r="A19" s="223"/>
      <c r="B19" s="117"/>
      <c r="C19" s="779"/>
      <c r="D19" s="795"/>
      <c r="E19" s="746"/>
      <c r="F19" s="780" t="str">
        <f t="shared" si="0"/>
        <v>----</v>
      </c>
      <c r="G19" s="746"/>
      <c r="H19" s="780" t="str">
        <f t="shared" si="1"/>
        <v>----</v>
      </c>
      <c r="I19" s="741"/>
      <c r="J19" s="781" t="str">
        <f t="shared" si="2"/>
        <v>----</v>
      </c>
    </row>
    <row r="20" spans="1:10">
      <c r="A20" s="223"/>
      <c r="B20" s="117"/>
      <c r="C20" s="779"/>
      <c r="D20" s="795"/>
      <c r="E20" s="746"/>
      <c r="F20" s="780" t="str">
        <f t="shared" si="0"/>
        <v>----</v>
      </c>
      <c r="G20" s="746"/>
      <c r="H20" s="780" t="str">
        <f t="shared" si="1"/>
        <v>----</v>
      </c>
      <c r="I20" s="741"/>
      <c r="J20" s="781" t="str">
        <f t="shared" si="2"/>
        <v>----</v>
      </c>
    </row>
    <row r="21" spans="1:10">
      <c r="A21" s="223"/>
      <c r="B21" s="117"/>
      <c r="C21" s="779"/>
      <c r="D21" s="795"/>
      <c r="E21" s="746"/>
      <c r="F21" s="780" t="str">
        <f t="shared" si="0"/>
        <v>----</v>
      </c>
      <c r="G21" s="746"/>
      <c r="H21" s="780" t="str">
        <f t="shared" si="1"/>
        <v>----</v>
      </c>
      <c r="I21" s="741"/>
      <c r="J21" s="781" t="str">
        <f t="shared" si="2"/>
        <v>----</v>
      </c>
    </row>
    <row r="22" spans="1:10">
      <c r="A22" s="223"/>
      <c r="B22" s="117"/>
      <c r="C22" s="779"/>
      <c r="D22" s="795"/>
      <c r="E22" s="746"/>
      <c r="F22" s="780" t="str">
        <f t="shared" si="0"/>
        <v>----</v>
      </c>
      <c r="G22" s="746"/>
      <c r="H22" s="780" t="str">
        <f t="shared" si="1"/>
        <v>----</v>
      </c>
      <c r="I22" s="741"/>
      <c r="J22" s="781"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820"/>
      <c r="D24" s="820"/>
      <c r="E24" s="820"/>
      <c r="F24" s="821">
        <f>SUM(F4:F23)</f>
        <v>38820.989999999991</v>
      </c>
      <c r="G24" s="820"/>
      <c r="H24" s="821">
        <f>SUM(H4:H23)</f>
        <v>0</v>
      </c>
      <c r="I24" s="820"/>
      <c r="J24" s="821">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L13"/>
  <sheetViews>
    <sheetView workbookViewId="0">
      <selection activeCell="L5" sqref="L5"/>
    </sheetView>
  </sheetViews>
  <sheetFormatPr defaultRowHeight="15"/>
  <cols>
    <col min="2" max="2" width="23.5703125" bestFit="1" customWidth="1"/>
    <col min="3" max="3" width="12.5703125" bestFit="1" customWidth="1"/>
    <col min="4" max="4" width="13.85546875" customWidth="1"/>
    <col min="5" max="5" width="10.7109375" style="434" bestFit="1" customWidth="1"/>
    <col min="6" max="6" width="9.5703125" style="434" bestFit="1" customWidth="1"/>
    <col min="7" max="7" width="10.7109375" style="434" bestFit="1" customWidth="1"/>
    <col min="8" max="8" width="9.5703125" style="434" bestFit="1" customWidth="1"/>
    <col min="9" max="9" width="10.7109375" bestFit="1" customWidth="1"/>
    <col min="10" max="10" width="9.5703125" bestFit="1" customWidth="1"/>
    <col min="12" max="12" width="11.140625" bestFit="1" customWidth="1"/>
  </cols>
  <sheetData>
    <row r="1" spans="1:12" ht="15.75" thickBot="1">
      <c r="A1" s="958" t="s">
        <v>289</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57.75" thickBot="1">
      <c r="A3" s="966"/>
      <c r="B3" s="968"/>
      <c r="C3" s="968"/>
      <c r="D3" s="980"/>
      <c r="E3" s="462" t="s">
        <v>121</v>
      </c>
      <c r="F3" s="470" t="s">
        <v>113</v>
      </c>
      <c r="G3" s="462" t="s">
        <v>121</v>
      </c>
      <c r="H3" s="470" t="s">
        <v>113</v>
      </c>
      <c r="I3" s="480" t="s">
        <v>121</v>
      </c>
      <c r="J3" s="25" t="s">
        <v>113</v>
      </c>
    </row>
    <row r="4" spans="1:12">
      <c r="A4" s="70">
        <v>44124</v>
      </c>
      <c r="B4" s="71" t="s">
        <v>315</v>
      </c>
      <c r="C4" s="104">
        <v>706275.25</v>
      </c>
      <c r="D4" s="532">
        <v>296625.25</v>
      </c>
      <c r="E4" s="542"/>
      <c r="F4" s="641" t="str">
        <f t="shared" ref="F4:F12" si="0">IF(ISBLANK(E4),"----",E4-D4)</f>
        <v>----</v>
      </c>
      <c r="G4" s="542"/>
      <c r="H4" s="641" t="str">
        <f t="shared" ref="H4:H12" si="1">IF(OR(G4="Complete",ISBLANK(G4)),"----",G4-$D4)</f>
        <v>----</v>
      </c>
      <c r="I4" s="537">
        <f>706970.55-409650</f>
        <v>297320.55000000005</v>
      </c>
      <c r="J4" s="642">
        <f t="shared" ref="J4:J12" si="2">IF(OR(I4="Complete",ISBLANK(I4)),"----",I4-$D4)</f>
        <v>695.30000000004657</v>
      </c>
      <c r="K4" t="s">
        <v>422</v>
      </c>
      <c r="L4" s="725">
        <v>409650</v>
      </c>
    </row>
    <row r="5" spans="1:12">
      <c r="A5" s="88">
        <v>44153</v>
      </c>
      <c r="B5" s="101" t="s">
        <v>332</v>
      </c>
      <c r="C5" s="112">
        <v>409000.63</v>
      </c>
      <c r="D5" s="533">
        <v>135900.63</v>
      </c>
      <c r="E5" s="543">
        <v>133790.75</v>
      </c>
      <c r="F5" s="655">
        <f t="shared" si="0"/>
        <v>-2109.8800000000047</v>
      </c>
      <c r="G5" s="543" t="s">
        <v>703</v>
      </c>
      <c r="H5" s="655" t="str">
        <f t="shared" si="1"/>
        <v>----</v>
      </c>
      <c r="I5" s="538" t="s">
        <v>703</v>
      </c>
      <c r="J5" s="656" t="str">
        <f t="shared" si="2"/>
        <v>----</v>
      </c>
    </row>
    <row r="6" spans="1:12">
      <c r="A6" s="88">
        <v>44580</v>
      </c>
      <c r="B6" s="101" t="s">
        <v>492</v>
      </c>
      <c r="C6" s="112">
        <v>236396</v>
      </c>
      <c r="D6" s="533">
        <v>0</v>
      </c>
      <c r="E6" s="543"/>
      <c r="F6" s="655" t="str">
        <f t="shared" si="0"/>
        <v>----</v>
      </c>
      <c r="G6" s="543">
        <v>0</v>
      </c>
      <c r="H6" s="655">
        <f t="shared" si="1"/>
        <v>0</v>
      </c>
      <c r="I6" s="538">
        <v>0</v>
      </c>
      <c r="J6" s="656">
        <f t="shared" si="2"/>
        <v>0</v>
      </c>
      <c r="K6" t="s">
        <v>778</v>
      </c>
    </row>
    <row r="7" spans="1:12">
      <c r="A7" s="88">
        <v>44852</v>
      </c>
      <c r="B7" s="101" t="s">
        <v>573</v>
      </c>
      <c r="C7" s="112">
        <v>777108.59</v>
      </c>
      <c r="D7" s="533">
        <f>C7</f>
        <v>777108.59</v>
      </c>
      <c r="E7" s="543"/>
      <c r="F7" s="655" t="str">
        <f t="shared" si="0"/>
        <v>----</v>
      </c>
      <c r="G7" s="543"/>
      <c r="H7" s="655" t="str">
        <f t="shared" si="1"/>
        <v>----</v>
      </c>
      <c r="I7" s="538"/>
      <c r="J7" s="656" t="str">
        <f t="shared" si="2"/>
        <v>----</v>
      </c>
    </row>
    <row r="8" spans="1:12">
      <c r="A8" s="88">
        <v>45524</v>
      </c>
      <c r="B8" s="450" t="s">
        <v>767</v>
      </c>
      <c r="C8" s="112">
        <v>2065011</v>
      </c>
      <c r="D8" s="533">
        <f>C8-2000000</f>
        <v>65011</v>
      </c>
      <c r="E8" s="543"/>
      <c r="F8" s="655" t="str">
        <f t="shared" si="0"/>
        <v>----</v>
      </c>
      <c r="G8" s="543"/>
      <c r="H8" s="655" t="str">
        <f t="shared" si="1"/>
        <v>----</v>
      </c>
      <c r="I8" s="538"/>
      <c r="J8" s="656" t="str">
        <f t="shared" si="2"/>
        <v>----</v>
      </c>
      <c r="K8" t="s">
        <v>768</v>
      </c>
    </row>
    <row r="9" spans="1:12">
      <c r="A9" s="88"/>
      <c r="B9" s="101"/>
      <c r="C9" s="112"/>
      <c r="D9" s="533"/>
      <c r="E9" s="543"/>
      <c r="F9" s="655" t="str">
        <f t="shared" si="0"/>
        <v>----</v>
      </c>
      <c r="G9" s="543"/>
      <c r="H9" s="655" t="str">
        <f t="shared" si="1"/>
        <v>----</v>
      </c>
      <c r="I9" s="538"/>
      <c r="J9" s="656" t="str">
        <f t="shared" si="2"/>
        <v>----</v>
      </c>
    </row>
    <row r="10" spans="1:12">
      <c r="A10" s="88"/>
      <c r="B10" s="101"/>
      <c r="C10" s="112"/>
      <c r="D10" s="533"/>
      <c r="E10" s="543"/>
      <c r="F10" s="655" t="str">
        <f t="shared" si="0"/>
        <v>----</v>
      </c>
      <c r="G10" s="543"/>
      <c r="H10" s="655" t="str">
        <f t="shared" si="1"/>
        <v>----</v>
      </c>
      <c r="I10" s="538"/>
      <c r="J10" s="656" t="str">
        <f t="shared" si="2"/>
        <v>----</v>
      </c>
    </row>
    <row r="11" spans="1:12">
      <c r="A11" s="88"/>
      <c r="B11" s="101"/>
      <c r="C11" s="112"/>
      <c r="D11" s="533"/>
      <c r="E11" s="543"/>
      <c r="F11" s="655" t="str">
        <f t="shared" si="0"/>
        <v>----</v>
      </c>
      <c r="G11" s="543"/>
      <c r="H11" s="655" t="str">
        <f t="shared" si="1"/>
        <v>----</v>
      </c>
      <c r="I11" s="538"/>
      <c r="J11" s="656" t="str">
        <f t="shared" si="2"/>
        <v>----</v>
      </c>
    </row>
    <row r="12" spans="1:12" ht="15.75" thickBot="1">
      <c r="A12" s="74"/>
      <c r="B12" s="75"/>
      <c r="C12" s="106"/>
      <c r="D12" s="536"/>
      <c r="E12" s="546"/>
      <c r="F12" s="639" t="str">
        <f t="shared" si="0"/>
        <v>----</v>
      </c>
      <c r="G12" s="546"/>
      <c r="H12" s="639" t="str">
        <f t="shared" si="1"/>
        <v>----</v>
      </c>
      <c r="I12" s="541"/>
      <c r="J12" s="640" t="str">
        <f t="shared" si="2"/>
        <v>----</v>
      </c>
    </row>
    <row r="13" spans="1:12" ht="15.75" thickBot="1">
      <c r="A13" s="27"/>
      <c r="B13" s="27"/>
      <c r="C13" s="28"/>
      <c r="D13" s="28"/>
      <c r="E13" s="441"/>
      <c r="F13" s="443">
        <f>SUM(F4:F12)</f>
        <v>-2109.8800000000047</v>
      </c>
      <c r="G13" s="441"/>
      <c r="H13" s="443">
        <f>SUM(H4:H12)</f>
        <v>0</v>
      </c>
      <c r="I13" s="28"/>
      <c r="J13" s="69">
        <f>SUM(J4:J12)</f>
        <v>695.30000000004657</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4" bestFit="1" customWidth="1"/>
    <col min="6" max="6" width="12.7109375" style="434" customWidth="1"/>
    <col min="7" max="7" width="12" style="434" bestFit="1" customWidth="1"/>
    <col min="8" max="8" width="12.7109375" style="434" customWidth="1"/>
    <col min="9" max="9" width="12" bestFit="1" customWidth="1"/>
    <col min="10" max="10" width="12.7109375" customWidth="1"/>
  </cols>
  <sheetData>
    <row r="1" spans="1:11" ht="15.75" thickBot="1">
      <c r="A1" s="958" t="s">
        <v>154</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43816</v>
      </c>
      <c r="B4" s="71" t="s">
        <v>167</v>
      </c>
      <c r="C4" s="72">
        <v>1366861.89</v>
      </c>
      <c r="D4" s="431">
        <f>C4</f>
        <v>1366861.89</v>
      </c>
      <c r="E4" s="471">
        <v>1388056.33</v>
      </c>
      <c r="F4" s="472">
        <f t="shared" ref="F4:F14" si="0">IF(ISBLANK(E4),"----",E4-D4)</f>
        <v>21194.440000000177</v>
      </c>
      <c r="G4" s="471" t="s">
        <v>703</v>
      </c>
      <c r="H4" s="472" t="str">
        <f t="shared" ref="H4:H14" si="1">IF(OR(G4="Complete",ISBLANK(G4)),"----",G4-$D4)</f>
        <v>----</v>
      </c>
      <c r="I4" s="481" t="s">
        <v>703</v>
      </c>
      <c r="J4" s="73" t="str">
        <f t="shared" ref="J4:J14" si="2">IF(OR(I4="Complete",ISBLANK(I4)),"----",I4-$D4)</f>
        <v>----</v>
      </c>
    </row>
    <row r="5" spans="1:11">
      <c r="A5" s="88">
        <v>44153</v>
      </c>
      <c r="B5" s="101" t="s">
        <v>333</v>
      </c>
      <c r="C5" s="82">
        <v>599264.30000000005</v>
      </c>
      <c r="D5" s="433">
        <v>326164.3</v>
      </c>
      <c r="E5" s="473"/>
      <c r="F5" s="474" t="str">
        <f t="shared" si="0"/>
        <v>----</v>
      </c>
      <c r="G5" s="473">
        <f>588064.59-273100</f>
        <v>314964.58999999997</v>
      </c>
      <c r="H5" s="474">
        <f t="shared" si="1"/>
        <v>-11199.710000000021</v>
      </c>
      <c r="I5" s="486" t="s">
        <v>703</v>
      </c>
      <c r="J5" s="83" t="str">
        <f t="shared" si="2"/>
        <v>----</v>
      </c>
      <c r="K5" s="434" t="s">
        <v>748</v>
      </c>
    </row>
    <row r="6" spans="1:11">
      <c r="A6" s="88">
        <v>45279</v>
      </c>
      <c r="B6" s="101" t="s">
        <v>693</v>
      </c>
      <c r="C6" s="82">
        <v>970101.6</v>
      </c>
      <c r="D6" s="433">
        <f>C6</f>
        <v>970101.6</v>
      </c>
      <c r="E6" s="473"/>
      <c r="F6" s="474" t="str">
        <f t="shared" si="0"/>
        <v>----</v>
      </c>
      <c r="G6" s="473"/>
      <c r="H6" s="474" t="str">
        <f t="shared" si="1"/>
        <v>----</v>
      </c>
      <c r="I6" s="486"/>
      <c r="J6" s="83" t="str">
        <f t="shared" si="2"/>
        <v>----</v>
      </c>
    </row>
    <row r="7" spans="1:11">
      <c r="A7" s="88"/>
      <c r="B7" s="101"/>
      <c r="C7" s="82"/>
      <c r="D7" s="433"/>
      <c r="E7" s="473"/>
      <c r="F7" s="474" t="str">
        <f t="shared" si="0"/>
        <v>----</v>
      </c>
      <c r="G7" s="473"/>
      <c r="H7" s="474" t="str">
        <f t="shared" si="1"/>
        <v>----</v>
      </c>
      <c r="I7" s="486"/>
      <c r="J7" s="83" t="str">
        <f t="shared" si="2"/>
        <v>----</v>
      </c>
    </row>
    <row r="8" spans="1:11">
      <c r="A8" s="88"/>
      <c r="B8" s="101"/>
      <c r="C8" s="82"/>
      <c r="D8" s="433"/>
      <c r="E8" s="473"/>
      <c r="F8" s="474" t="str">
        <f t="shared" si="0"/>
        <v>----</v>
      </c>
      <c r="G8" s="473"/>
      <c r="H8" s="474" t="str">
        <f t="shared" si="1"/>
        <v>----</v>
      </c>
      <c r="I8" s="486"/>
      <c r="J8" s="83" t="str">
        <f t="shared" si="2"/>
        <v>----</v>
      </c>
    </row>
    <row r="9" spans="1:11">
      <c r="A9" s="88"/>
      <c r="B9" s="101"/>
      <c r="C9" s="82"/>
      <c r="D9" s="433"/>
      <c r="E9" s="473"/>
      <c r="F9" s="474" t="str">
        <f t="shared" si="0"/>
        <v>----</v>
      </c>
      <c r="G9" s="473"/>
      <c r="H9" s="474" t="str">
        <f t="shared" si="1"/>
        <v>----</v>
      </c>
      <c r="I9" s="486"/>
      <c r="J9" s="83" t="str">
        <f t="shared" si="2"/>
        <v>----</v>
      </c>
    </row>
    <row r="10" spans="1:11">
      <c r="A10" s="88"/>
      <c r="B10" s="101"/>
      <c r="C10" s="82"/>
      <c r="D10" s="433"/>
      <c r="E10" s="473"/>
      <c r="F10" s="474" t="str">
        <f t="shared" si="0"/>
        <v>----</v>
      </c>
      <c r="G10" s="473"/>
      <c r="H10" s="474" t="str">
        <f t="shared" si="1"/>
        <v>----</v>
      </c>
      <c r="I10" s="486"/>
      <c r="J10" s="83" t="str">
        <f t="shared" si="2"/>
        <v>----</v>
      </c>
    </row>
    <row r="11" spans="1:11">
      <c r="A11" s="88"/>
      <c r="B11" s="101"/>
      <c r="C11" s="82"/>
      <c r="D11" s="433"/>
      <c r="E11" s="473"/>
      <c r="F11" s="474" t="str">
        <f t="shared" si="0"/>
        <v>----</v>
      </c>
      <c r="G11" s="473"/>
      <c r="H11" s="474" t="str">
        <f t="shared" si="1"/>
        <v>----</v>
      </c>
      <c r="I11" s="486"/>
      <c r="J11" s="83" t="str">
        <f t="shared" si="2"/>
        <v>----</v>
      </c>
    </row>
    <row r="12" spans="1:11">
      <c r="A12" s="88"/>
      <c r="B12" s="101"/>
      <c r="C12" s="82"/>
      <c r="D12" s="433"/>
      <c r="E12" s="473"/>
      <c r="F12" s="474" t="str">
        <f t="shared" si="0"/>
        <v>----</v>
      </c>
      <c r="G12" s="473"/>
      <c r="H12" s="474" t="str">
        <f t="shared" si="1"/>
        <v>----</v>
      </c>
      <c r="I12" s="486"/>
      <c r="J12" s="83" t="str">
        <f t="shared" si="2"/>
        <v>----</v>
      </c>
    </row>
    <row r="13" spans="1:11">
      <c r="A13" s="88"/>
      <c r="B13" s="101"/>
      <c r="C13" s="82"/>
      <c r="D13" s="433"/>
      <c r="E13" s="473"/>
      <c r="F13" s="474" t="str">
        <f t="shared" si="0"/>
        <v>----</v>
      </c>
      <c r="G13" s="473"/>
      <c r="H13" s="474" t="str">
        <f t="shared" si="1"/>
        <v>----</v>
      </c>
      <c r="I13" s="486"/>
      <c r="J13" s="83" t="str">
        <f t="shared" si="2"/>
        <v>----</v>
      </c>
    </row>
    <row r="14" spans="1:11" ht="15.75" thickBot="1">
      <c r="A14" s="74"/>
      <c r="B14" s="75"/>
      <c r="C14" s="76"/>
      <c r="D14" s="432"/>
      <c r="E14" s="477"/>
      <c r="F14" s="478" t="str">
        <f t="shared" si="0"/>
        <v>----</v>
      </c>
      <c r="G14" s="477"/>
      <c r="H14" s="478" t="str">
        <f t="shared" si="1"/>
        <v>----</v>
      </c>
      <c r="I14" s="483"/>
      <c r="J14" s="77" t="str">
        <f t="shared" si="2"/>
        <v>----</v>
      </c>
    </row>
    <row r="15" spans="1:11" ht="15.75" thickBot="1">
      <c r="A15" s="27"/>
      <c r="B15" s="27"/>
      <c r="C15" s="28"/>
      <c r="D15" s="28"/>
      <c r="E15" s="441"/>
      <c r="F15" s="443">
        <f>SUM(F4:F14)</f>
        <v>21194.440000000177</v>
      </c>
      <c r="G15" s="441"/>
      <c r="H15" s="443">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18"/>
  <sheetViews>
    <sheetView workbookViewId="0">
      <selection activeCell="G13" sqref="G13"/>
    </sheetView>
  </sheetViews>
  <sheetFormatPr defaultRowHeight="15"/>
  <cols>
    <col min="2" max="2" width="16.28515625" bestFit="1" customWidth="1"/>
    <col min="3" max="3" width="12.5703125" bestFit="1" customWidth="1"/>
    <col min="4" max="4" width="10.140625" bestFit="1" customWidth="1"/>
    <col min="5" max="8" width="9.140625" style="434"/>
  </cols>
  <sheetData>
    <row r="1" spans="1:10" ht="15.75" thickBot="1">
      <c r="A1" s="958" t="s">
        <v>267</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69" thickBot="1">
      <c r="A3" s="966"/>
      <c r="B3" s="968"/>
      <c r="C3" s="968"/>
      <c r="D3" s="980"/>
      <c r="E3" s="462" t="s">
        <v>121</v>
      </c>
      <c r="F3" s="470" t="s">
        <v>113</v>
      </c>
      <c r="G3" s="462" t="s">
        <v>121</v>
      </c>
      <c r="H3" s="470" t="s">
        <v>113</v>
      </c>
      <c r="I3" s="480" t="s">
        <v>121</v>
      </c>
      <c r="J3" s="25" t="s">
        <v>113</v>
      </c>
    </row>
    <row r="4" spans="1:10">
      <c r="A4" s="70">
        <v>45797</v>
      </c>
      <c r="B4" s="445" t="s">
        <v>874</v>
      </c>
      <c r="C4" s="787">
        <v>534526.9</v>
      </c>
      <c r="D4" s="793">
        <f>C4</f>
        <v>534526.9</v>
      </c>
      <c r="E4" s="800"/>
      <c r="F4" s="809" t="str">
        <f>IF(ISBLANK(E4),"----",E4-D4)</f>
        <v>----</v>
      </c>
      <c r="G4" s="800"/>
      <c r="H4" s="809" t="str">
        <f>IF(OR(G4="Complete",ISBLANK(G4)),"----",G4-$D4)</f>
        <v>----</v>
      </c>
      <c r="I4" s="797"/>
      <c r="J4" s="810" t="str">
        <f>IF(OR(I4="Complete",ISBLANK(I4)),"----",I4-$D4)</f>
        <v>----</v>
      </c>
    </row>
    <row r="5" spans="1:10" s="786" customFormat="1">
      <c r="A5" s="702"/>
      <c r="B5" s="703"/>
      <c r="C5" s="790"/>
      <c r="D5" s="794"/>
      <c r="E5" s="801"/>
      <c r="F5" s="813" t="str">
        <f t="shared" ref="F5:F14" si="0">IF(ISBLANK(E5),"----",E5-D5)</f>
        <v>----</v>
      </c>
      <c r="G5" s="801"/>
      <c r="H5" s="813" t="str">
        <f t="shared" ref="H5:H14" si="1">IF(OR(G5="Complete",ISBLANK(G5)),"----",G5-$D5)</f>
        <v>----</v>
      </c>
      <c r="I5" s="798"/>
      <c r="J5" s="814" t="str">
        <f t="shared" ref="J5:J14" si="2">IF(OR(I5="Complete",ISBLANK(I5)),"----",I5-$D5)</f>
        <v>----</v>
      </c>
    </row>
    <row r="6" spans="1:10" s="786" customFormat="1">
      <c r="A6" s="702"/>
      <c r="B6" s="703"/>
      <c r="C6" s="790"/>
      <c r="D6" s="794"/>
      <c r="E6" s="801"/>
      <c r="F6" s="813" t="str">
        <f t="shared" si="0"/>
        <v>----</v>
      </c>
      <c r="G6" s="801"/>
      <c r="H6" s="813" t="str">
        <f t="shared" si="1"/>
        <v>----</v>
      </c>
      <c r="I6" s="798"/>
      <c r="J6" s="814" t="str">
        <f t="shared" si="2"/>
        <v>----</v>
      </c>
    </row>
    <row r="7" spans="1:10" s="786" customFormat="1">
      <c r="A7" s="702"/>
      <c r="B7" s="703"/>
      <c r="C7" s="790"/>
      <c r="D7" s="794"/>
      <c r="E7" s="801"/>
      <c r="F7" s="813" t="str">
        <f t="shared" si="0"/>
        <v>----</v>
      </c>
      <c r="G7" s="801"/>
      <c r="H7" s="813" t="str">
        <f t="shared" si="1"/>
        <v>----</v>
      </c>
      <c r="I7" s="798"/>
      <c r="J7" s="814" t="str">
        <f t="shared" si="2"/>
        <v>----</v>
      </c>
    </row>
    <row r="8" spans="1:10" s="786" customFormat="1">
      <c r="A8" s="702"/>
      <c r="B8" s="703"/>
      <c r="C8" s="790"/>
      <c r="D8" s="794"/>
      <c r="E8" s="801"/>
      <c r="F8" s="813" t="str">
        <f t="shared" si="0"/>
        <v>----</v>
      </c>
      <c r="G8" s="801"/>
      <c r="H8" s="813" t="str">
        <f t="shared" si="1"/>
        <v>----</v>
      </c>
      <c r="I8" s="798"/>
      <c r="J8" s="814" t="str">
        <f t="shared" si="2"/>
        <v>----</v>
      </c>
    </row>
    <row r="9" spans="1:10" s="786" customFormat="1">
      <c r="A9" s="702"/>
      <c r="B9" s="703"/>
      <c r="C9" s="790"/>
      <c r="D9" s="794"/>
      <c r="E9" s="801"/>
      <c r="F9" s="813" t="str">
        <f t="shared" si="0"/>
        <v>----</v>
      </c>
      <c r="G9" s="801"/>
      <c r="H9" s="813" t="str">
        <f t="shared" si="1"/>
        <v>----</v>
      </c>
      <c r="I9" s="798"/>
      <c r="J9" s="814" t="str">
        <f t="shared" si="2"/>
        <v>----</v>
      </c>
    </row>
    <row r="10" spans="1:10" s="786" customFormat="1">
      <c r="A10" s="702"/>
      <c r="B10" s="703"/>
      <c r="C10" s="790"/>
      <c r="D10" s="794"/>
      <c r="E10" s="801"/>
      <c r="F10" s="813" t="str">
        <f t="shared" si="0"/>
        <v>----</v>
      </c>
      <c r="G10" s="801"/>
      <c r="H10" s="813" t="str">
        <f t="shared" si="1"/>
        <v>----</v>
      </c>
      <c r="I10" s="798"/>
      <c r="J10" s="814" t="str">
        <f t="shared" si="2"/>
        <v>----</v>
      </c>
    </row>
    <row r="11" spans="1:10" s="786" customFormat="1">
      <c r="A11" s="702"/>
      <c r="B11" s="703"/>
      <c r="C11" s="790"/>
      <c r="D11" s="794"/>
      <c r="E11" s="801"/>
      <c r="F11" s="813" t="str">
        <f t="shared" si="0"/>
        <v>----</v>
      </c>
      <c r="G11" s="801"/>
      <c r="H11" s="813" t="str">
        <f t="shared" si="1"/>
        <v>----</v>
      </c>
      <c r="I11" s="798"/>
      <c r="J11" s="814" t="str">
        <f t="shared" si="2"/>
        <v>----</v>
      </c>
    </row>
    <row r="12" spans="1:10" s="786" customFormat="1">
      <c r="A12" s="702"/>
      <c r="B12" s="703"/>
      <c r="C12" s="790"/>
      <c r="D12" s="794"/>
      <c r="E12" s="801"/>
      <c r="F12" s="813" t="str">
        <f t="shared" si="0"/>
        <v>----</v>
      </c>
      <c r="G12" s="801"/>
      <c r="H12" s="813" t="str">
        <f t="shared" si="1"/>
        <v>----</v>
      </c>
      <c r="I12" s="798"/>
      <c r="J12" s="814" t="str">
        <f t="shared" si="2"/>
        <v>----</v>
      </c>
    </row>
    <row r="13" spans="1:10" s="786" customFormat="1">
      <c r="A13" s="702"/>
      <c r="B13" s="703"/>
      <c r="C13" s="790"/>
      <c r="D13" s="794"/>
      <c r="E13" s="801"/>
      <c r="F13" s="813" t="str">
        <f t="shared" si="0"/>
        <v>----</v>
      </c>
      <c r="G13" s="801"/>
      <c r="H13" s="813" t="str">
        <f t="shared" si="1"/>
        <v>----</v>
      </c>
      <c r="I13" s="798"/>
      <c r="J13" s="814" t="str">
        <f t="shared" si="2"/>
        <v>----</v>
      </c>
    </row>
    <row r="14" spans="1:10" s="786" customFormat="1">
      <c r="A14" s="702"/>
      <c r="B14" s="703"/>
      <c r="C14" s="790"/>
      <c r="D14" s="794"/>
      <c r="E14" s="801"/>
      <c r="F14" s="813" t="str">
        <f t="shared" si="0"/>
        <v>----</v>
      </c>
      <c r="G14" s="801"/>
      <c r="H14" s="813" t="str">
        <f t="shared" si="1"/>
        <v>----</v>
      </c>
      <c r="I14" s="798"/>
      <c r="J14" s="814" t="str">
        <f t="shared" si="2"/>
        <v>----</v>
      </c>
    </row>
    <row r="15" spans="1:10">
      <c r="A15" s="88"/>
      <c r="B15" s="101"/>
      <c r="C15" s="790"/>
      <c r="D15" s="794"/>
      <c r="E15" s="801"/>
      <c r="F15" s="813" t="str">
        <f>IF(ISBLANK(E15),"----",E15-D15)</f>
        <v>----</v>
      </c>
      <c r="G15" s="801"/>
      <c r="H15" s="813" t="str">
        <f>IF(OR(G15="Complete",ISBLANK(G15)),"----",G15-$D15)</f>
        <v>----</v>
      </c>
      <c r="I15" s="798"/>
      <c r="J15" s="814" t="str">
        <f>IF(OR(I15="Complete",ISBLANK(I15)),"----",I15-$D15)</f>
        <v>----</v>
      </c>
    </row>
    <row r="16" spans="1:10">
      <c r="A16" s="91"/>
      <c r="B16" s="92"/>
      <c r="C16" s="788"/>
      <c r="D16" s="803"/>
      <c r="E16" s="805"/>
      <c r="F16" s="668" t="str">
        <f>IF(ISBLANK(E16),"----",E16-D16)</f>
        <v>----</v>
      </c>
      <c r="G16" s="805"/>
      <c r="H16" s="668" t="str">
        <f>IF(OR(G16="Complete",ISBLANK(G16)),"----",G16-$D16)</f>
        <v>----</v>
      </c>
      <c r="I16" s="804"/>
      <c r="J16" s="669" t="str">
        <f>IF(OR(I16="Complete",ISBLANK(I16)),"----",I16-$D16)</f>
        <v>----</v>
      </c>
    </row>
    <row r="17" spans="1:10" ht="15.75" thickBot="1">
      <c r="A17" s="74"/>
      <c r="B17" s="75"/>
      <c r="C17" s="789"/>
      <c r="D17" s="796"/>
      <c r="E17" s="802"/>
      <c r="F17" s="807" t="str">
        <f>IF(ISBLANK(E17),"----",E17-D17)</f>
        <v>----</v>
      </c>
      <c r="G17" s="802"/>
      <c r="H17" s="807" t="str">
        <f>IF(OR(G17="Complete",ISBLANK(G17)),"----",G17-$D17)</f>
        <v>----</v>
      </c>
      <c r="I17" s="799"/>
      <c r="J17" s="808" t="str">
        <f>IF(OR(I17="Complete",ISBLANK(I17)),"----",I17-$D17)</f>
        <v>----</v>
      </c>
    </row>
    <row r="18" spans="1:10" ht="15.75" thickBot="1">
      <c r="A18" s="27"/>
      <c r="B18" s="27"/>
      <c r="C18" s="28"/>
      <c r="D18" s="28"/>
      <c r="E18" s="441"/>
      <c r="F18" s="443">
        <f>SUM(F4:F17)</f>
        <v>0</v>
      </c>
      <c r="G18" s="441"/>
      <c r="H18" s="443">
        <f>SUM(H4:H17)</f>
        <v>0</v>
      </c>
      <c r="I18" s="28"/>
      <c r="J18" s="69">
        <f>SUM(J4:J17)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4" bestFit="1" customWidth="1"/>
    <col min="6" max="6" width="11.5703125" style="434" customWidth="1"/>
    <col min="7" max="7" width="9.5703125" style="434" bestFit="1" customWidth="1"/>
    <col min="8" max="8" width="11.5703125" style="434" customWidth="1"/>
    <col min="9" max="9" width="9.5703125" bestFit="1" customWidth="1"/>
    <col min="10" max="10" width="11.5703125" customWidth="1"/>
  </cols>
  <sheetData>
    <row r="1" spans="1:10" ht="15.75" thickBot="1">
      <c r="A1" s="958" t="s">
        <v>268</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44061</v>
      </c>
      <c r="B4" s="71" t="s">
        <v>300</v>
      </c>
      <c r="C4" s="104">
        <v>1230943.05</v>
      </c>
      <c r="D4" s="532">
        <v>788521.05</v>
      </c>
      <c r="E4" s="542">
        <v>777172.75</v>
      </c>
      <c r="F4" s="472">
        <f>IF(ISBLANK(E4),"----",E4-$D4)</f>
        <v>-11348.300000000047</v>
      </c>
      <c r="G4" s="542" t="s">
        <v>703</v>
      </c>
      <c r="H4" s="472" t="str">
        <f>IF(OR(G4="Complete",ISBLANK(G4)),"----",G4-$D4)</f>
        <v>----</v>
      </c>
      <c r="I4" s="537" t="s">
        <v>703</v>
      </c>
      <c r="J4" s="73" t="str">
        <f>IF(OR(I4="Complete",ISBLANK(I4)),"----",I4-$D4)</f>
        <v>----</v>
      </c>
    </row>
    <row r="5" spans="1:10">
      <c r="A5" s="88"/>
      <c r="B5" s="101"/>
      <c r="C5" s="112"/>
      <c r="D5" s="533"/>
      <c r="E5" s="543"/>
      <c r="F5" s="474" t="str">
        <f t="shared" ref="F5:F7" si="0">IF(ISBLANK(E5),"----",E5-$D5)</f>
        <v>----</v>
      </c>
      <c r="G5" s="543"/>
      <c r="H5" s="474" t="str">
        <f>IF(OR(G5="Complete",ISBLANK(G5)),"----",G5-$D5)</f>
        <v>----</v>
      </c>
      <c r="I5" s="538"/>
      <c r="J5" s="83" t="str">
        <f>IF(OR(I5="Complete",ISBLANK(I5)),"----",I5-$D5)</f>
        <v>----</v>
      </c>
    </row>
    <row r="6" spans="1:10">
      <c r="A6" s="91"/>
      <c r="B6" s="92"/>
      <c r="C6" s="105"/>
      <c r="D6" s="552"/>
      <c r="E6" s="554"/>
      <c r="F6" s="485" t="str">
        <f t="shared" si="0"/>
        <v>----</v>
      </c>
      <c r="G6" s="554"/>
      <c r="H6" s="485" t="str">
        <f>IF(OR(G6="Complete",ISBLANK(G6)),"----",G6-$D6)</f>
        <v>----</v>
      </c>
      <c r="I6" s="553"/>
      <c r="J6" s="85" t="str">
        <f>IF(OR(I6="Complete",ISBLANK(I6)),"----",I6-$D6)</f>
        <v>----</v>
      </c>
    </row>
    <row r="7" spans="1:10" ht="15.75" thickBot="1">
      <c r="A7" s="74"/>
      <c r="B7" s="75"/>
      <c r="C7" s="106"/>
      <c r="D7" s="536"/>
      <c r="E7" s="546"/>
      <c r="F7" s="478" t="str">
        <f t="shared" si="0"/>
        <v>----</v>
      </c>
      <c r="G7" s="546"/>
      <c r="H7" s="478" t="str">
        <f>IF(OR(G7="Complete",ISBLANK(G7)),"----",G7-$D7)</f>
        <v>----</v>
      </c>
      <c r="I7" s="541"/>
      <c r="J7" s="77" t="str">
        <f>IF(OR(I7="Complete",ISBLANK(I7)),"----",I7-$D7)</f>
        <v>----</v>
      </c>
    </row>
    <row r="8" spans="1:10" ht="15.75" thickBot="1">
      <c r="A8" s="27"/>
      <c r="B8" s="27"/>
      <c r="C8" s="28"/>
      <c r="D8" s="28"/>
      <c r="E8" s="441"/>
      <c r="F8" s="443">
        <f>SUM(F4:F7)</f>
        <v>-11348.300000000047</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4" bestFit="1" customWidth="1"/>
    <col min="6" max="6" width="13.85546875" style="434" customWidth="1"/>
    <col min="7" max="7" width="12" style="434" bestFit="1" customWidth="1"/>
    <col min="8" max="8" width="13.85546875" style="434" customWidth="1"/>
    <col min="9" max="9" width="12" bestFit="1" customWidth="1"/>
    <col min="10" max="10" width="13.85546875" customWidth="1"/>
  </cols>
  <sheetData>
    <row r="1" spans="1:11" ht="15.75" thickBot="1">
      <c r="A1" s="958" t="s">
        <v>185</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43852</v>
      </c>
      <c r="B4" s="71" t="s">
        <v>196</v>
      </c>
      <c r="C4" s="787">
        <v>1221334.17</v>
      </c>
      <c r="D4" s="793">
        <f>C4</f>
        <v>1221334.17</v>
      </c>
      <c r="E4" s="800">
        <v>1195463.57</v>
      </c>
      <c r="F4" s="809">
        <f t="shared" ref="F4:F21" si="0">IF(ISBLANK(E4),"----",E4-D4)</f>
        <v>-25870.59999999986</v>
      </c>
      <c r="G4" s="800" t="s">
        <v>703</v>
      </c>
      <c r="H4" s="809" t="str">
        <f t="shared" ref="H4:H21" si="1">IF(OR(G4="Complete",ISBLANK(G4)),"----",G4-$D4)</f>
        <v>----</v>
      </c>
      <c r="I4" s="797" t="s">
        <v>703</v>
      </c>
      <c r="J4" s="810" t="str">
        <f t="shared" ref="J4:J21" si="2">IF(OR(I4="Complete",ISBLANK(I4)),"----",I4-$D4)</f>
        <v>----</v>
      </c>
    </row>
    <row r="5" spans="1:11">
      <c r="A5" s="88">
        <v>43879</v>
      </c>
      <c r="B5" s="101" t="s">
        <v>219</v>
      </c>
      <c r="C5" s="790">
        <v>659062.44999999995</v>
      </c>
      <c r="D5" s="794">
        <v>440582.45</v>
      </c>
      <c r="E5" s="801">
        <v>405284.05</v>
      </c>
      <c r="F5" s="813">
        <f t="shared" si="0"/>
        <v>-35298.400000000023</v>
      </c>
      <c r="G5" s="801" t="s">
        <v>703</v>
      </c>
      <c r="H5" s="813" t="str">
        <f t="shared" si="1"/>
        <v>----</v>
      </c>
      <c r="I5" s="798" t="s">
        <v>703</v>
      </c>
      <c r="J5" s="814" t="str">
        <f t="shared" si="2"/>
        <v>----</v>
      </c>
      <c r="K5" t="s">
        <v>220</v>
      </c>
    </row>
    <row r="6" spans="1:11">
      <c r="A6" s="976">
        <v>44243</v>
      </c>
      <c r="B6" s="103" t="s">
        <v>399</v>
      </c>
      <c r="C6" s="776">
        <v>875107</v>
      </c>
      <c r="D6" s="735">
        <v>656627</v>
      </c>
      <c r="E6" s="745"/>
      <c r="F6" s="813" t="str">
        <f t="shared" si="0"/>
        <v>----</v>
      </c>
      <c r="G6" s="745"/>
      <c r="H6" s="813" t="str">
        <f t="shared" si="1"/>
        <v>----</v>
      </c>
      <c r="I6" s="740">
        <f>884224.32-218480</f>
        <v>665744.31999999995</v>
      </c>
      <c r="J6" s="814">
        <f t="shared" si="2"/>
        <v>9117.3199999999488</v>
      </c>
      <c r="K6" t="s">
        <v>808</v>
      </c>
    </row>
    <row r="7" spans="1:11">
      <c r="A7" s="978"/>
      <c r="B7" s="103" t="s">
        <v>400</v>
      </c>
      <c r="C7" s="776">
        <v>771101.6</v>
      </c>
      <c r="D7" s="735">
        <v>552621.6</v>
      </c>
      <c r="E7" s="745"/>
      <c r="F7" s="813" t="str">
        <f t="shared" si="0"/>
        <v>----</v>
      </c>
      <c r="G7" s="745"/>
      <c r="H7" s="813" t="str">
        <f t="shared" si="1"/>
        <v>----</v>
      </c>
      <c r="I7" s="740">
        <f>777931.05-218480</f>
        <v>559451.05000000005</v>
      </c>
      <c r="J7" s="814">
        <f t="shared" si="2"/>
        <v>6829.4500000000698</v>
      </c>
      <c r="K7" s="786" t="s">
        <v>809</v>
      </c>
    </row>
    <row r="8" spans="1:11">
      <c r="A8" s="102">
        <v>44551</v>
      </c>
      <c r="B8" s="258" t="s">
        <v>484</v>
      </c>
      <c r="C8" s="776">
        <v>1494122.4</v>
      </c>
      <c r="D8" s="735">
        <f>C8</f>
        <v>1494122.4</v>
      </c>
      <c r="E8" s="745">
        <v>1449485.68</v>
      </c>
      <c r="F8" s="813">
        <f t="shared" si="0"/>
        <v>-44636.719999999972</v>
      </c>
      <c r="G8" s="745" t="s">
        <v>703</v>
      </c>
      <c r="H8" s="813" t="str">
        <f t="shared" si="1"/>
        <v>----</v>
      </c>
      <c r="I8" s="740" t="s">
        <v>703</v>
      </c>
      <c r="J8" s="814" t="str">
        <f t="shared" si="2"/>
        <v>----</v>
      </c>
    </row>
    <row r="9" spans="1:11">
      <c r="A9" s="102">
        <v>44915</v>
      </c>
      <c r="B9" s="103" t="s">
        <v>616</v>
      </c>
      <c r="C9" s="776">
        <v>653836.69999999995</v>
      </c>
      <c r="D9" s="735">
        <f>130767.34+523069.36</f>
        <v>653836.69999999995</v>
      </c>
      <c r="E9" s="745"/>
      <c r="F9" s="813" t="str">
        <f t="shared" si="0"/>
        <v>----</v>
      </c>
      <c r="G9" s="745"/>
      <c r="H9" s="813" t="str">
        <f t="shared" si="1"/>
        <v>----</v>
      </c>
      <c r="I9" s="740">
        <v>685624.78</v>
      </c>
      <c r="J9" s="814">
        <f t="shared" si="2"/>
        <v>31788.080000000075</v>
      </c>
    </row>
    <row r="10" spans="1:11">
      <c r="A10" s="406">
        <v>45251</v>
      </c>
      <c r="B10" s="407" t="s">
        <v>678</v>
      </c>
      <c r="C10" s="776">
        <v>739176</v>
      </c>
      <c r="D10" s="735">
        <f>C10</f>
        <v>739176</v>
      </c>
      <c r="E10" s="745"/>
      <c r="F10" s="813" t="str">
        <f t="shared" si="0"/>
        <v>----</v>
      </c>
      <c r="G10" s="745"/>
      <c r="H10" s="813" t="str">
        <f t="shared" si="1"/>
        <v>----</v>
      </c>
      <c r="I10" s="740">
        <v>740923.85</v>
      </c>
      <c r="J10" s="814">
        <f t="shared" si="2"/>
        <v>1747.8499999999767</v>
      </c>
    </row>
    <row r="11" spans="1:11">
      <c r="A11" s="406">
        <v>45251</v>
      </c>
      <c r="B11" s="407" t="s">
        <v>679</v>
      </c>
      <c r="C11" s="776">
        <v>631625</v>
      </c>
      <c r="D11" s="735">
        <f>C11</f>
        <v>631625</v>
      </c>
      <c r="E11" s="745"/>
      <c r="F11" s="813" t="str">
        <f t="shared" si="0"/>
        <v>----</v>
      </c>
      <c r="G11" s="745"/>
      <c r="H11" s="813" t="str">
        <f t="shared" si="1"/>
        <v>----</v>
      </c>
      <c r="I11" s="740">
        <v>629064.5</v>
      </c>
      <c r="J11" s="814">
        <f t="shared" si="2"/>
        <v>-2560.5</v>
      </c>
    </row>
    <row r="12" spans="1:11">
      <c r="A12" s="102"/>
      <c r="B12" s="103"/>
      <c r="C12" s="776"/>
      <c r="D12" s="735"/>
      <c r="E12" s="745"/>
      <c r="F12" s="813" t="str">
        <f t="shared" si="0"/>
        <v>----</v>
      </c>
      <c r="G12" s="745"/>
      <c r="H12" s="813" t="str">
        <f t="shared" si="1"/>
        <v>----</v>
      </c>
      <c r="I12" s="740"/>
      <c r="J12" s="814" t="str">
        <f t="shared" si="2"/>
        <v>----</v>
      </c>
    </row>
    <row r="13" spans="1:11">
      <c r="A13" s="102"/>
      <c r="B13" s="103"/>
      <c r="C13" s="776"/>
      <c r="D13" s="735"/>
      <c r="E13" s="745"/>
      <c r="F13" s="813" t="str">
        <f t="shared" si="0"/>
        <v>----</v>
      </c>
      <c r="G13" s="745"/>
      <c r="H13" s="813" t="str">
        <f t="shared" si="1"/>
        <v>----</v>
      </c>
      <c r="I13" s="740"/>
      <c r="J13" s="814" t="str">
        <f t="shared" si="2"/>
        <v>----</v>
      </c>
    </row>
    <row r="14" spans="1:11">
      <c r="A14" s="102"/>
      <c r="B14" s="103"/>
      <c r="C14" s="776"/>
      <c r="D14" s="735"/>
      <c r="E14" s="745"/>
      <c r="F14" s="813" t="str">
        <f t="shared" si="0"/>
        <v>----</v>
      </c>
      <c r="G14" s="745"/>
      <c r="H14" s="813" t="str">
        <f t="shared" si="1"/>
        <v>----</v>
      </c>
      <c r="I14" s="740"/>
      <c r="J14" s="814" t="str">
        <f t="shared" si="2"/>
        <v>----</v>
      </c>
    </row>
    <row r="15" spans="1:11">
      <c r="A15" s="102"/>
      <c r="B15" s="103"/>
      <c r="C15" s="776"/>
      <c r="D15" s="735"/>
      <c r="E15" s="745"/>
      <c r="F15" s="813" t="str">
        <f t="shared" si="0"/>
        <v>----</v>
      </c>
      <c r="G15" s="745"/>
      <c r="H15" s="813" t="str">
        <f t="shared" si="1"/>
        <v>----</v>
      </c>
      <c r="I15" s="740"/>
      <c r="J15" s="814" t="str">
        <f t="shared" si="2"/>
        <v>----</v>
      </c>
    </row>
    <row r="16" spans="1:11">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16"/>
      <c r="B20" s="117"/>
      <c r="C20" s="779"/>
      <c r="D20" s="795"/>
      <c r="E20" s="746"/>
      <c r="F20" s="813" t="str">
        <f t="shared" si="0"/>
        <v>----</v>
      </c>
      <c r="G20" s="746"/>
      <c r="H20" s="813" t="str">
        <f t="shared" si="1"/>
        <v>----</v>
      </c>
      <c r="I20" s="741"/>
      <c r="J20" s="814"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820"/>
      <c r="D22" s="820"/>
      <c r="E22" s="820"/>
      <c r="F22" s="821">
        <f>SUM(F4:F21)</f>
        <v>-105805.71999999986</v>
      </c>
      <c r="G22" s="820"/>
      <c r="H22" s="821">
        <f>SUM(H4:H21)</f>
        <v>0</v>
      </c>
      <c r="I22" s="820"/>
      <c r="J22" s="821">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L21"/>
  <sheetViews>
    <sheetView workbookViewId="0">
      <selection activeCell="L14" sqref="L14"/>
    </sheetView>
  </sheetViews>
  <sheetFormatPr defaultRowHeight="15"/>
  <cols>
    <col min="2" max="2" width="23.5703125" bestFit="1" customWidth="1"/>
    <col min="3" max="3" width="10.7109375" bestFit="1" customWidth="1"/>
    <col min="4" max="4" width="12.140625" customWidth="1"/>
    <col min="5" max="5" width="10.7109375" style="434" bestFit="1" customWidth="1"/>
    <col min="6" max="6" width="12.140625" style="434" customWidth="1"/>
    <col min="7" max="7" width="10.7109375" style="434" bestFit="1" customWidth="1"/>
    <col min="8" max="8" width="12.140625" style="434" customWidth="1"/>
    <col min="9" max="9" width="10.7109375" bestFit="1" customWidth="1"/>
    <col min="10" max="10" width="12.140625" customWidth="1"/>
    <col min="12" max="12" width="11.140625" bestFit="1" customWidth="1"/>
  </cols>
  <sheetData>
    <row r="1" spans="1:12" ht="15.75" thickBot="1">
      <c r="A1" s="958" t="s">
        <v>129</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57.75" thickBot="1">
      <c r="A3" s="966"/>
      <c r="B3" s="968"/>
      <c r="C3" s="968"/>
      <c r="D3" s="980"/>
      <c r="E3" s="462" t="s">
        <v>121</v>
      </c>
      <c r="F3" s="470" t="s">
        <v>113</v>
      </c>
      <c r="G3" s="462" t="s">
        <v>121</v>
      </c>
      <c r="H3" s="470" t="s">
        <v>113</v>
      </c>
      <c r="I3" s="480" t="s">
        <v>121</v>
      </c>
      <c r="J3" s="25" t="s">
        <v>113</v>
      </c>
    </row>
    <row r="4" spans="1:12">
      <c r="A4" s="93">
        <f>Henry!A4</f>
        <v>43970</v>
      </c>
      <c r="B4" s="94" t="str">
        <f>Henry!B4</f>
        <v>BROS-SWAP-C044(87)--SE-44</v>
      </c>
      <c r="C4" s="95">
        <f>Henry!C4</f>
        <v>320390.63</v>
      </c>
      <c r="D4" s="557">
        <f>Henry!D4</f>
        <v>320390.63</v>
      </c>
      <c r="E4" s="559"/>
      <c r="F4" s="560" t="str">
        <f t="shared" ref="F4:F20" si="0">IF(ISBLANK(E4),"----",E4-D4)</f>
        <v>----</v>
      </c>
      <c r="G4" s="559"/>
      <c r="H4" s="560" t="str">
        <f t="shared" ref="H4:H20" si="1">IF(OR(G4="Complete",ISBLANK(G4)),"----",G4-$D4)</f>
        <v>----</v>
      </c>
      <c r="I4" s="558"/>
      <c r="J4" s="96" t="str">
        <f t="shared" ref="J4:J20" si="2">IF(OR(I4="Complete",ISBLANK(I4)),"----",I4-$D4)</f>
        <v>----</v>
      </c>
      <c r="K4" t="s">
        <v>130</v>
      </c>
    </row>
    <row r="5" spans="1:12">
      <c r="A5" s="88">
        <v>44124</v>
      </c>
      <c r="B5" s="101" t="s">
        <v>316</v>
      </c>
      <c r="C5" s="82">
        <v>636750.65</v>
      </c>
      <c r="D5" s="433">
        <v>199790.65</v>
      </c>
      <c r="E5" s="473"/>
      <c r="F5" s="474" t="str">
        <f t="shared" si="0"/>
        <v>----</v>
      </c>
      <c r="G5" s="473"/>
      <c r="H5" s="474" t="str">
        <f t="shared" si="1"/>
        <v>----</v>
      </c>
      <c r="I5" s="486">
        <f>608999.45-436960</f>
        <v>172039.44999999995</v>
      </c>
      <c r="J5" s="83">
        <f t="shared" si="2"/>
        <v>-27751.200000000041</v>
      </c>
      <c r="K5" t="s">
        <v>422</v>
      </c>
      <c r="L5" s="725">
        <v>436960</v>
      </c>
    </row>
    <row r="6" spans="1:12">
      <c r="A6" s="102">
        <v>44824</v>
      </c>
      <c r="B6" s="103" t="s">
        <v>564</v>
      </c>
      <c r="C6" s="87">
        <v>426853.5</v>
      </c>
      <c r="D6" s="468">
        <f>C6</f>
        <v>426853.5</v>
      </c>
      <c r="E6" s="475">
        <v>429601.15</v>
      </c>
      <c r="F6" s="487">
        <f t="shared" si="0"/>
        <v>2747.6500000000233</v>
      </c>
      <c r="G6" s="475" t="s">
        <v>703</v>
      </c>
      <c r="H6" s="487" t="str">
        <f t="shared" si="1"/>
        <v>----</v>
      </c>
      <c r="I6" s="488" t="s">
        <v>703</v>
      </c>
      <c r="J6" s="115" t="str">
        <f t="shared" si="2"/>
        <v>----</v>
      </c>
    </row>
    <row r="7" spans="1:12">
      <c r="A7" s="102"/>
      <c r="B7" s="103"/>
      <c r="C7" s="87"/>
      <c r="D7" s="468"/>
      <c r="E7" s="475"/>
      <c r="F7" s="487" t="str">
        <f t="shared" si="0"/>
        <v>----</v>
      </c>
      <c r="G7" s="475"/>
      <c r="H7" s="487" t="str">
        <f t="shared" si="1"/>
        <v>----</v>
      </c>
      <c r="I7" s="488"/>
      <c r="J7" s="115" t="str">
        <f t="shared" si="2"/>
        <v>----</v>
      </c>
    </row>
    <row r="8" spans="1:12">
      <c r="A8" s="102"/>
      <c r="B8" s="103"/>
      <c r="C8" s="87"/>
      <c r="D8" s="468"/>
      <c r="E8" s="475"/>
      <c r="F8" s="487" t="str">
        <f t="shared" si="0"/>
        <v>----</v>
      </c>
      <c r="G8" s="475"/>
      <c r="H8" s="487" t="str">
        <f t="shared" si="1"/>
        <v>----</v>
      </c>
      <c r="I8" s="488"/>
      <c r="J8" s="115" t="str">
        <f t="shared" si="2"/>
        <v>----</v>
      </c>
    </row>
    <row r="9" spans="1:12">
      <c r="A9" s="102"/>
      <c r="B9" s="103"/>
      <c r="C9" s="87"/>
      <c r="D9" s="468"/>
      <c r="E9" s="475"/>
      <c r="F9" s="487" t="str">
        <f t="shared" si="0"/>
        <v>----</v>
      </c>
      <c r="G9" s="475"/>
      <c r="H9" s="487" t="str">
        <f t="shared" si="1"/>
        <v>----</v>
      </c>
      <c r="I9" s="488"/>
      <c r="J9" s="115" t="str">
        <f t="shared" si="2"/>
        <v>----</v>
      </c>
    </row>
    <row r="10" spans="1:12">
      <c r="A10" s="102"/>
      <c r="B10" s="103"/>
      <c r="C10" s="87"/>
      <c r="D10" s="468"/>
      <c r="E10" s="475"/>
      <c r="F10" s="487" t="str">
        <f t="shared" si="0"/>
        <v>----</v>
      </c>
      <c r="G10" s="475"/>
      <c r="H10" s="487" t="str">
        <f t="shared" si="1"/>
        <v>----</v>
      </c>
      <c r="I10" s="488"/>
      <c r="J10" s="115" t="str">
        <f t="shared" si="2"/>
        <v>----</v>
      </c>
    </row>
    <row r="11" spans="1:12">
      <c r="A11" s="102"/>
      <c r="B11" s="103"/>
      <c r="C11" s="87"/>
      <c r="D11" s="468"/>
      <c r="E11" s="475"/>
      <c r="F11" s="487" t="str">
        <f t="shared" si="0"/>
        <v>----</v>
      </c>
      <c r="G11" s="475"/>
      <c r="H11" s="487" t="str">
        <f t="shared" si="1"/>
        <v>----</v>
      </c>
      <c r="I11" s="488"/>
      <c r="J11" s="115" t="str">
        <f t="shared" si="2"/>
        <v>----</v>
      </c>
    </row>
    <row r="12" spans="1:12">
      <c r="A12" s="102"/>
      <c r="B12" s="103"/>
      <c r="C12" s="87"/>
      <c r="D12" s="468"/>
      <c r="E12" s="475"/>
      <c r="F12" s="487" t="str">
        <f t="shared" si="0"/>
        <v>----</v>
      </c>
      <c r="G12" s="475"/>
      <c r="H12" s="487" t="str">
        <f t="shared" si="1"/>
        <v>----</v>
      </c>
      <c r="I12" s="488"/>
      <c r="J12" s="115" t="str">
        <f t="shared" si="2"/>
        <v>----</v>
      </c>
    </row>
    <row r="13" spans="1:12">
      <c r="A13" s="102"/>
      <c r="B13" s="103"/>
      <c r="C13" s="87"/>
      <c r="D13" s="468"/>
      <c r="E13" s="475"/>
      <c r="F13" s="487" t="str">
        <f t="shared" si="0"/>
        <v>----</v>
      </c>
      <c r="G13" s="475"/>
      <c r="H13" s="487" t="str">
        <f t="shared" si="1"/>
        <v>----</v>
      </c>
      <c r="I13" s="488"/>
      <c r="J13" s="115" t="str">
        <f t="shared" si="2"/>
        <v>----</v>
      </c>
    </row>
    <row r="14" spans="1:12">
      <c r="A14" s="102"/>
      <c r="B14" s="103"/>
      <c r="C14" s="87"/>
      <c r="D14" s="468"/>
      <c r="E14" s="475"/>
      <c r="F14" s="487" t="str">
        <f t="shared" si="0"/>
        <v>----</v>
      </c>
      <c r="G14" s="475"/>
      <c r="H14" s="487" t="str">
        <f t="shared" si="1"/>
        <v>----</v>
      </c>
      <c r="I14" s="488"/>
      <c r="J14" s="115" t="str">
        <f t="shared" si="2"/>
        <v>----</v>
      </c>
    </row>
    <row r="15" spans="1:12">
      <c r="A15" s="102"/>
      <c r="B15" s="103"/>
      <c r="C15" s="87"/>
      <c r="D15" s="468"/>
      <c r="E15" s="475"/>
      <c r="F15" s="487" t="str">
        <f t="shared" si="0"/>
        <v>----</v>
      </c>
      <c r="G15" s="475"/>
      <c r="H15" s="487" t="str">
        <f t="shared" si="1"/>
        <v>----</v>
      </c>
      <c r="I15" s="488"/>
      <c r="J15" s="115" t="str">
        <f t="shared" si="2"/>
        <v>----</v>
      </c>
    </row>
    <row r="16" spans="1:12">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2747.6500000000233</v>
      </c>
      <c r="G21" s="441"/>
      <c r="H21" s="443">
        <f>SUM(H4:H20)</f>
        <v>0</v>
      </c>
      <c r="I21" s="28"/>
      <c r="J21" s="69">
        <f>SUM(J4:J20)</f>
        <v>-27751.200000000041</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4" bestFit="1" customWidth="1"/>
    <col min="6" max="6" width="13.140625" style="434" customWidth="1"/>
    <col min="7" max="7" width="10.7109375" style="434" bestFit="1" customWidth="1"/>
    <col min="8" max="8" width="13.140625" style="434" customWidth="1"/>
    <col min="9" max="9" width="10.7109375" bestFit="1" customWidth="1"/>
    <col min="10" max="10" width="13.140625" customWidth="1"/>
  </cols>
  <sheetData>
    <row r="1" spans="1:10" ht="15.75" thickBot="1">
      <c r="A1" s="958" t="s">
        <v>186</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113</v>
      </c>
      <c r="G3" s="462" t="s">
        <v>121</v>
      </c>
      <c r="H3" s="470" t="s">
        <v>113</v>
      </c>
      <c r="I3" s="480" t="s">
        <v>121</v>
      </c>
      <c r="J3" s="25" t="s">
        <v>113</v>
      </c>
    </row>
    <row r="4" spans="1:10">
      <c r="A4" s="70">
        <v>43852</v>
      </c>
      <c r="B4" s="71" t="s">
        <v>195</v>
      </c>
      <c r="C4" s="72">
        <v>648175.25</v>
      </c>
      <c r="D4" s="431">
        <f>C4</f>
        <v>648175.25</v>
      </c>
      <c r="E4" s="471">
        <v>654579.03</v>
      </c>
      <c r="F4" s="472">
        <f t="shared" ref="F4:F21" si="0">IF(ISBLANK(E4),"----",E4-D4)</f>
        <v>6403.7800000000279</v>
      </c>
      <c r="G4" s="471" t="s">
        <v>703</v>
      </c>
      <c r="H4" s="472" t="str">
        <f t="shared" ref="H4:H21" si="1">IF(OR(G4="Complete",ISBLANK(G4)),"----",G4-$D4)</f>
        <v>----</v>
      </c>
      <c r="I4" s="481" t="s">
        <v>703</v>
      </c>
      <c r="J4" s="73" t="str">
        <f t="shared" ref="J4:J21" si="2">IF(OR(I4="Complete",ISBLANK(I4)),"----",I4-$D4)</f>
        <v>----</v>
      </c>
    </row>
    <row r="5" spans="1:10">
      <c r="A5" s="91">
        <v>44944</v>
      </c>
      <c r="B5" s="92" t="s">
        <v>631</v>
      </c>
      <c r="C5" s="84">
        <v>210874</v>
      </c>
      <c r="D5" s="479">
        <f>C5</f>
        <v>210874</v>
      </c>
      <c r="E5" s="484"/>
      <c r="F5" s="523" t="str">
        <f t="shared" si="0"/>
        <v>----</v>
      </c>
      <c r="G5" s="484">
        <v>209628.4</v>
      </c>
      <c r="H5" s="523">
        <f t="shared" si="1"/>
        <v>-1245.6000000000058</v>
      </c>
      <c r="I5" s="482" t="s">
        <v>703</v>
      </c>
      <c r="J5" s="140" t="str">
        <f t="shared" si="2"/>
        <v>----</v>
      </c>
    </row>
    <row r="6" spans="1:10">
      <c r="A6" s="102">
        <v>45433</v>
      </c>
      <c r="B6" s="452" t="s">
        <v>753</v>
      </c>
      <c r="C6" s="372">
        <v>349183.4</v>
      </c>
      <c r="D6" s="468">
        <f>C6</f>
        <v>349183.4</v>
      </c>
      <c r="E6" s="475"/>
      <c r="F6" s="523" t="str">
        <f t="shared" si="0"/>
        <v>----</v>
      </c>
      <c r="G6" s="475"/>
      <c r="H6" s="523" t="str">
        <f t="shared" si="1"/>
        <v>----</v>
      </c>
      <c r="I6" s="488"/>
      <c r="J6" s="140" t="str">
        <f t="shared" si="2"/>
        <v>----</v>
      </c>
    </row>
    <row r="7" spans="1:10">
      <c r="A7" s="102"/>
      <c r="B7" s="103"/>
      <c r="C7" s="87"/>
      <c r="D7" s="468"/>
      <c r="E7" s="475"/>
      <c r="F7" s="523" t="str">
        <f t="shared" si="0"/>
        <v>----</v>
      </c>
      <c r="G7" s="475"/>
      <c r="H7" s="523" t="str">
        <f t="shared" si="1"/>
        <v>----</v>
      </c>
      <c r="I7" s="488"/>
      <c r="J7" s="140" t="str">
        <f t="shared" si="2"/>
        <v>----</v>
      </c>
    </row>
    <row r="8" spans="1:10">
      <c r="A8" s="102"/>
      <c r="B8" s="103"/>
      <c r="C8" s="87"/>
      <c r="D8" s="468"/>
      <c r="E8" s="475"/>
      <c r="F8" s="523" t="str">
        <f t="shared" si="0"/>
        <v>----</v>
      </c>
      <c r="G8" s="475"/>
      <c r="H8" s="523" t="str">
        <f t="shared" si="1"/>
        <v>----</v>
      </c>
      <c r="I8" s="488"/>
      <c r="J8" s="140" t="str">
        <f t="shared" si="2"/>
        <v>----</v>
      </c>
    </row>
    <row r="9" spans="1:10">
      <c r="A9" s="102"/>
      <c r="B9" s="103"/>
      <c r="C9" s="87"/>
      <c r="D9" s="468"/>
      <c r="E9" s="475"/>
      <c r="F9" s="523" t="str">
        <f t="shared" si="0"/>
        <v>----</v>
      </c>
      <c r="G9" s="475"/>
      <c r="H9" s="523" t="str">
        <f t="shared" si="1"/>
        <v>----</v>
      </c>
      <c r="I9" s="488"/>
      <c r="J9" s="140" t="str">
        <f t="shared" si="2"/>
        <v>----</v>
      </c>
    </row>
    <row r="10" spans="1:10">
      <c r="A10" s="102"/>
      <c r="B10" s="103"/>
      <c r="C10" s="87"/>
      <c r="D10" s="468"/>
      <c r="E10" s="475"/>
      <c r="F10" s="523" t="str">
        <f t="shared" si="0"/>
        <v>----</v>
      </c>
      <c r="G10" s="475"/>
      <c r="H10" s="523" t="str">
        <f t="shared" si="1"/>
        <v>----</v>
      </c>
      <c r="I10" s="488"/>
      <c r="J10" s="140" t="str">
        <f t="shared" si="2"/>
        <v>----</v>
      </c>
    </row>
    <row r="11" spans="1:10">
      <c r="A11" s="102"/>
      <c r="B11" s="103"/>
      <c r="C11" s="87"/>
      <c r="D11" s="468"/>
      <c r="E11" s="475"/>
      <c r="F11" s="523" t="str">
        <f t="shared" si="0"/>
        <v>----</v>
      </c>
      <c r="G11" s="475"/>
      <c r="H11" s="523" t="str">
        <f t="shared" si="1"/>
        <v>----</v>
      </c>
      <c r="I11" s="488"/>
      <c r="J11" s="140" t="str">
        <f t="shared" si="2"/>
        <v>----</v>
      </c>
    </row>
    <row r="12" spans="1:10">
      <c r="A12" s="102"/>
      <c r="B12" s="103"/>
      <c r="C12" s="87"/>
      <c r="D12" s="468"/>
      <c r="E12" s="475"/>
      <c r="F12" s="523" t="str">
        <f t="shared" si="0"/>
        <v>----</v>
      </c>
      <c r="G12" s="475"/>
      <c r="H12" s="523" t="str">
        <f t="shared" si="1"/>
        <v>----</v>
      </c>
      <c r="I12" s="488"/>
      <c r="J12" s="140" t="str">
        <f t="shared" si="2"/>
        <v>----</v>
      </c>
    </row>
    <row r="13" spans="1:10">
      <c r="A13" s="102"/>
      <c r="B13" s="103"/>
      <c r="C13" s="87"/>
      <c r="D13" s="468"/>
      <c r="E13" s="475"/>
      <c r="F13" s="523" t="str">
        <f t="shared" si="0"/>
        <v>----</v>
      </c>
      <c r="G13" s="475"/>
      <c r="H13" s="523" t="str">
        <f t="shared" si="1"/>
        <v>----</v>
      </c>
      <c r="I13" s="488"/>
      <c r="J13" s="140" t="str">
        <f t="shared" si="2"/>
        <v>----</v>
      </c>
    </row>
    <row r="14" spans="1:10">
      <c r="A14" s="102"/>
      <c r="B14" s="103"/>
      <c r="C14" s="87"/>
      <c r="D14" s="468"/>
      <c r="E14" s="475"/>
      <c r="F14" s="523" t="str">
        <f t="shared" si="0"/>
        <v>----</v>
      </c>
      <c r="G14" s="475"/>
      <c r="H14" s="523" t="str">
        <f t="shared" si="1"/>
        <v>----</v>
      </c>
      <c r="I14" s="488"/>
      <c r="J14" s="140" t="str">
        <f t="shared" si="2"/>
        <v>----</v>
      </c>
    </row>
    <row r="15" spans="1:10">
      <c r="A15" s="102"/>
      <c r="B15" s="103"/>
      <c r="C15" s="87"/>
      <c r="D15" s="468"/>
      <c r="E15" s="475"/>
      <c r="F15" s="523" t="str">
        <f t="shared" si="0"/>
        <v>----</v>
      </c>
      <c r="G15" s="475"/>
      <c r="H15" s="523" t="str">
        <f t="shared" si="1"/>
        <v>----</v>
      </c>
      <c r="I15" s="488"/>
      <c r="J15" s="140" t="str">
        <f t="shared" si="2"/>
        <v>----</v>
      </c>
    </row>
    <row r="16" spans="1:10">
      <c r="A16" s="102"/>
      <c r="B16" s="103"/>
      <c r="C16" s="87"/>
      <c r="D16" s="468"/>
      <c r="E16" s="475"/>
      <c r="F16" s="523" t="str">
        <f t="shared" si="0"/>
        <v>----</v>
      </c>
      <c r="G16" s="475"/>
      <c r="H16" s="523" t="str">
        <f t="shared" si="1"/>
        <v>----</v>
      </c>
      <c r="I16" s="488"/>
      <c r="J16" s="140" t="str">
        <f t="shared" si="2"/>
        <v>----</v>
      </c>
    </row>
    <row r="17" spans="1:10">
      <c r="A17" s="102"/>
      <c r="B17" s="103"/>
      <c r="C17" s="87"/>
      <c r="D17" s="468"/>
      <c r="E17" s="475"/>
      <c r="F17" s="523" t="str">
        <f t="shared" si="0"/>
        <v>----</v>
      </c>
      <c r="G17" s="475"/>
      <c r="H17" s="523" t="str">
        <f t="shared" si="1"/>
        <v>----</v>
      </c>
      <c r="I17" s="488"/>
      <c r="J17" s="140" t="str">
        <f t="shared" si="2"/>
        <v>----</v>
      </c>
    </row>
    <row r="18" spans="1:10">
      <c r="A18" s="102"/>
      <c r="B18" s="103"/>
      <c r="C18" s="87"/>
      <c r="D18" s="468"/>
      <c r="E18" s="475"/>
      <c r="F18" s="523" t="str">
        <f t="shared" si="0"/>
        <v>----</v>
      </c>
      <c r="G18" s="475"/>
      <c r="H18" s="523" t="str">
        <f t="shared" si="1"/>
        <v>----</v>
      </c>
      <c r="I18" s="488"/>
      <c r="J18" s="140" t="str">
        <f t="shared" si="2"/>
        <v>----</v>
      </c>
    </row>
    <row r="19" spans="1:10">
      <c r="A19" s="102"/>
      <c r="B19" s="103"/>
      <c r="C19" s="87"/>
      <c r="D19" s="468"/>
      <c r="E19" s="475"/>
      <c r="F19" s="523" t="str">
        <f t="shared" si="0"/>
        <v>----</v>
      </c>
      <c r="G19" s="475"/>
      <c r="H19" s="523" t="str">
        <f t="shared" si="1"/>
        <v>----</v>
      </c>
      <c r="I19" s="488"/>
      <c r="J19" s="140" t="str">
        <f t="shared" si="2"/>
        <v>----</v>
      </c>
    </row>
    <row r="20" spans="1:10">
      <c r="A20" s="116"/>
      <c r="B20" s="117"/>
      <c r="C20" s="118"/>
      <c r="D20" s="469"/>
      <c r="E20" s="476"/>
      <c r="F20" s="523" t="str">
        <f t="shared" si="0"/>
        <v>----</v>
      </c>
      <c r="G20" s="476"/>
      <c r="H20" s="523" t="str">
        <f t="shared" si="1"/>
        <v>----</v>
      </c>
      <c r="I20" s="490"/>
      <c r="J20" s="140" t="str">
        <f t="shared" si="2"/>
        <v>----</v>
      </c>
    </row>
    <row r="21" spans="1:10" ht="15.75" thickBot="1">
      <c r="A21" s="74"/>
      <c r="B21" s="75"/>
      <c r="C21" s="76"/>
      <c r="D21" s="432"/>
      <c r="E21" s="477"/>
      <c r="F21" s="478" t="str">
        <f t="shared" si="0"/>
        <v>----</v>
      </c>
      <c r="G21" s="477"/>
      <c r="H21" s="478" t="str">
        <f t="shared" si="1"/>
        <v>----</v>
      </c>
      <c r="I21" s="483"/>
      <c r="J21" s="77" t="str">
        <f t="shared" si="2"/>
        <v>----</v>
      </c>
    </row>
    <row r="22" spans="1:10" ht="15.75" thickBot="1">
      <c r="A22" s="27"/>
      <c r="B22" s="27"/>
      <c r="C22" s="28"/>
      <c r="D22" s="28"/>
      <c r="E22" s="441"/>
      <c r="F22" s="443">
        <f>SUM(F4:F21)</f>
        <v>6403.7800000000279</v>
      </c>
      <c r="G22" s="441"/>
      <c r="H22" s="443">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4" bestFit="1" customWidth="1"/>
    <col min="6" max="6" width="12.140625" style="434" customWidth="1"/>
    <col min="7" max="7" width="10.7109375" style="434" bestFit="1" customWidth="1"/>
    <col min="8" max="8" width="12.140625" style="434" customWidth="1"/>
    <col min="9" max="9" width="10.7109375" bestFit="1" customWidth="1"/>
    <col min="10" max="10" width="12.140625" customWidth="1"/>
  </cols>
  <sheetData>
    <row r="1" spans="1:10" ht="15.75" thickBot="1">
      <c r="A1" s="958" t="s">
        <v>269</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44061</v>
      </c>
      <c r="B4" s="71" t="s">
        <v>301</v>
      </c>
      <c r="C4" s="104">
        <v>532653.92000000004</v>
      </c>
      <c r="D4" s="532">
        <v>327828.92</v>
      </c>
      <c r="E4" s="471">
        <v>315755.42</v>
      </c>
      <c r="F4" s="472">
        <f>IF(ISBLANK(E4),"----",E4-D4)</f>
        <v>-12073.5</v>
      </c>
      <c r="G4" s="471" t="s">
        <v>703</v>
      </c>
      <c r="H4" s="472" t="str">
        <f>IF(OR(G4="Complete",ISBLANK(G4)),"----",G4-$D4)</f>
        <v>----</v>
      </c>
      <c r="I4" s="481" t="s">
        <v>703</v>
      </c>
      <c r="J4" s="73" t="str">
        <f>IF(OR(I4="Complete",ISBLANK(I4)),"----",I4-$D4)</f>
        <v>----</v>
      </c>
    </row>
    <row r="5" spans="1:10">
      <c r="A5" s="88"/>
      <c r="B5" s="101"/>
      <c r="C5" s="82"/>
      <c r="D5" s="433"/>
      <c r="E5" s="473"/>
      <c r="F5" s="474" t="str">
        <f>IF(ISBLANK(E5),"----",E5-D5)</f>
        <v>----</v>
      </c>
      <c r="G5" s="473"/>
      <c r="H5" s="474" t="str">
        <f>IF(OR(G5="Complete",ISBLANK(G5)),"----",G5-$D5)</f>
        <v>----</v>
      </c>
      <c r="I5" s="486"/>
      <c r="J5" s="83" t="str">
        <f>IF(OR(I5="Complete",ISBLANK(I5)),"----",I5-$D5)</f>
        <v>----</v>
      </c>
    </row>
    <row r="6" spans="1:10">
      <c r="A6" s="91"/>
      <c r="B6" s="92"/>
      <c r="C6" s="84"/>
      <c r="D6" s="479"/>
      <c r="E6" s="484"/>
      <c r="F6" s="485" t="str">
        <f>IF(ISBLANK(E6),"----",E6-D6)</f>
        <v>----</v>
      </c>
      <c r="G6" s="484"/>
      <c r="H6" s="485" t="str">
        <f>IF(OR(G6="Complete",ISBLANK(G6)),"----",G6-$D6)</f>
        <v>----</v>
      </c>
      <c r="I6" s="482"/>
      <c r="J6" s="85" t="str">
        <f>IF(OR(I6="Complete",ISBLANK(I6)),"----",I6-$D6)</f>
        <v>----</v>
      </c>
    </row>
    <row r="7" spans="1:10" ht="15.75" thickBot="1">
      <c r="A7" s="74"/>
      <c r="B7" s="75"/>
      <c r="C7" s="76"/>
      <c r="D7" s="432"/>
      <c r="E7" s="477"/>
      <c r="F7" s="478" t="str">
        <f>IF(ISBLANK(E7),"----",E7-D7)</f>
        <v>----</v>
      </c>
      <c r="G7" s="477"/>
      <c r="H7" s="478" t="str">
        <f>IF(OR(G7="Complete",ISBLANK(G7)),"----",G7-$D7)</f>
        <v>----</v>
      </c>
      <c r="I7" s="483"/>
      <c r="J7" s="77" t="str">
        <f>IF(OR(I7="Complete",ISBLANK(I7)),"----",I7-$D7)</f>
        <v>----</v>
      </c>
    </row>
    <row r="8" spans="1:10" ht="15.75" thickBot="1">
      <c r="A8" s="27"/>
      <c r="B8" s="27"/>
      <c r="C8" s="28"/>
      <c r="D8" s="28"/>
      <c r="E8" s="441"/>
      <c r="F8" s="443">
        <f>SUM(F4:F7)</f>
        <v>-12073.5</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4" bestFit="1" customWidth="1"/>
    <col min="6" max="6" width="9.140625" style="434"/>
    <col min="7" max="7" width="10.7109375" style="434" bestFit="1" customWidth="1"/>
    <col min="8" max="8" width="9.140625" style="434"/>
    <col min="9" max="9" width="10.7109375" bestFit="1" customWidth="1"/>
  </cols>
  <sheetData>
    <row r="1" spans="1:10" ht="15.75" thickBot="1">
      <c r="A1" s="958" t="s">
        <v>270</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69" thickBot="1">
      <c r="A3" s="966"/>
      <c r="B3" s="968"/>
      <c r="C3" s="968"/>
      <c r="D3" s="980"/>
      <c r="E3" s="462" t="s">
        <v>121</v>
      </c>
      <c r="F3" s="470" t="s">
        <v>113</v>
      </c>
      <c r="G3" s="462" t="s">
        <v>121</v>
      </c>
      <c r="H3" s="470" t="s">
        <v>113</v>
      </c>
      <c r="I3" s="480" t="s">
        <v>121</v>
      </c>
      <c r="J3" s="25" t="s">
        <v>113</v>
      </c>
    </row>
    <row r="4" spans="1:10">
      <c r="A4" s="70">
        <v>44516</v>
      </c>
      <c r="B4" s="71" t="s">
        <v>465</v>
      </c>
      <c r="C4" s="72">
        <v>818380.7</v>
      </c>
      <c r="D4" s="431">
        <f>C4</f>
        <v>818380.7</v>
      </c>
      <c r="E4" s="471">
        <v>822538.46</v>
      </c>
      <c r="F4" s="472">
        <f t="shared" ref="F4:F22" si="0">IF(ISBLANK(E4),"----",E4-D4)</f>
        <v>4157.7600000000093</v>
      </c>
      <c r="G4" s="471" t="s">
        <v>703</v>
      </c>
      <c r="H4" s="472" t="str">
        <f t="shared" ref="H4:H22" si="1">IF(OR(G4="Complete",ISBLANK(G4)),"----",G4-$D4)</f>
        <v>----</v>
      </c>
      <c r="I4" s="481" t="s">
        <v>703</v>
      </c>
      <c r="J4" s="73" t="str">
        <f t="shared" ref="J4:J22" si="2">IF(OR(I4="Complete",ISBLANK(I4)),"----",I4-$D4)</f>
        <v>----</v>
      </c>
    </row>
    <row r="5" spans="1:10">
      <c r="A5" s="88"/>
      <c r="B5" s="101"/>
      <c r="C5" s="82"/>
      <c r="D5" s="433"/>
      <c r="E5" s="473"/>
      <c r="F5" s="474" t="str">
        <f t="shared" si="0"/>
        <v>----</v>
      </c>
      <c r="G5" s="473"/>
      <c r="H5" s="474" t="str">
        <f t="shared" si="1"/>
        <v>----</v>
      </c>
      <c r="I5" s="486"/>
      <c r="J5" s="83" t="str">
        <f t="shared" si="2"/>
        <v>----</v>
      </c>
    </row>
    <row r="6" spans="1:10">
      <c r="A6" s="88"/>
      <c r="B6" s="101"/>
      <c r="C6" s="82"/>
      <c r="D6" s="433"/>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c r="A14" s="88"/>
      <c r="B14" s="101"/>
      <c r="C14" s="82"/>
      <c r="D14" s="433"/>
      <c r="E14" s="473"/>
      <c r="F14" s="474" t="str">
        <f t="shared" si="0"/>
        <v>----</v>
      </c>
      <c r="G14" s="473"/>
      <c r="H14" s="474" t="str">
        <f t="shared" si="1"/>
        <v>----</v>
      </c>
      <c r="I14" s="486"/>
      <c r="J14" s="83" t="str">
        <f t="shared" si="2"/>
        <v>----</v>
      </c>
    </row>
    <row r="15" spans="1:10">
      <c r="A15" s="88"/>
      <c r="B15" s="101"/>
      <c r="C15" s="82"/>
      <c r="D15" s="433"/>
      <c r="E15" s="473"/>
      <c r="F15" s="474" t="str">
        <f t="shared" si="0"/>
        <v>----</v>
      </c>
      <c r="G15" s="473"/>
      <c r="H15" s="474" t="str">
        <f t="shared" si="1"/>
        <v>----</v>
      </c>
      <c r="I15" s="486"/>
      <c r="J15" s="83" t="str">
        <f t="shared" si="2"/>
        <v>----</v>
      </c>
    </row>
    <row r="16" spans="1:10">
      <c r="A16" s="88"/>
      <c r="B16" s="101"/>
      <c r="C16" s="82"/>
      <c r="D16" s="433"/>
      <c r="E16" s="473"/>
      <c r="F16" s="474" t="str">
        <f t="shared" si="0"/>
        <v>----</v>
      </c>
      <c r="G16" s="473"/>
      <c r="H16" s="474" t="str">
        <f t="shared" si="1"/>
        <v>----</v>
      </c>
      <c r="I16" s="486"/>
      <c r="J16" s="83" t="str">
        <f t="shared" si="2"/>
        <v>----</v>
      </c>
    </row>
    <row r="17" spans="1:10">
      <c r="A17" s="88"/>
      <c r="B17" s="101"/>
      <c r="C17" s="82"/>
      <c r="D17" s="433"/>
      <c r="E17" s="473"/>
      <c r="F17" s="474" t="str">
        <f t="shared" si="0"/>
        <v>----</v>
      </c>
      <c r="G17" s="473"/>
      <c r="H17" s="474" t="str">
        <f t="shared" si="1"/>
        <v>----</v>
      </c>
      <c r="I17" s="486"/>
      <c r="J17" s="83" t="str">
        <f t="shared" si="2"/>
        <v>----</v>
      </c>
    </row>
    <row r="18" spans="1:10">
      <c r="A18" s="88"/>
      <c r="B18" s="101"/>
      <c r="C18" s="82"/>
      <c r="D18" s="433"/>
      <c r="E18" s="473"/>
      <c r="F18" s="474" t="str">
        <f t="shared" si="0"/>
        <v>----</v>
      </c>
      <c r="G18" s="473"/>
      <c r="H18" s="474" t="str">
        <f t="shared" si="1"/>
        <v>----</v>
      </c>
      <c r="I18" s="486"/>
      <c r="J18" s="83" t="str">
        <f t="shared" si="2"/>
        <v>----</v>
      </c>
    </row>
    <row r="19" spans="1:10">
      <c r="A19" s="88"/>
      <c r="B19" s="101"/>
      <c r="C19" s="82"/>
      <c r="D19" s="433"/>
      <c r="E19" s="473"/>
      <c r="F19" s="474" t="str">
        <f t="shared" si="0"/>
        <v>----</v>
      </c>
      <c r="G19" s="473"/>
      <c r="H19" s="474" t="str">
        <f t="shared" si="1"/>
        <v>----</v>
      </c>
      <c r="I19" s="486"/>
      <c r="J19" s="83" t="str">
        <f t="shared" si="2"/>
        <v>----</v>
      </c>
    </row>
    <row r="20" spans="1:10">
      <c r="A20" s="88"/>
      <c r="B20" s="101"/>
      <c r="C20" s="82"/>
      <c r="D20" s="433"/>
      <c r="E20" s="473"/>
      <c r="F20" s="474" t="str">
        <f t="shared" si="0"/>
        <v>----</v>
      </c>
      <c r="G20" s="473"/>
      <c r="H20" s="474" t="str">
        <f t="shared" si="1"/>
        <v>----</v>
      </c>
      <c r="I20" s="486"/>
      <c r="J20" s="83" t="str">
        <f t="shared" si="2"/>
        <v>----</v>
      </c>
    </row>
    <row r="21" spans="1:10">
      <c r="A21" s="91"/>
      <c r="B21" s="92"/>
      <c r="C21" s="84"/>
      <c r="D21" s="479"/>
      <c r="E21" s="484"/>
      <c r="F21" s="485" t="str">
        <f t="shared" si="0"/>
        <v>----</v>
      </c>
      <c r="G21" s="484"/>
      <c r="H21" s="485" t="str">
        <f t="shared" si="1"/>
        <v>----</v>
      </c>
      <c r="I21" s="482"/>
      <c r="J21" s="85"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4157.7600000000093</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I7" sqref="I7"/>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4"/>
    <col min="6" max="6" width="11" style="434" customWidth="1"/>
    <col min="7" max="7" width="9.140625" style="434"/>
    <col min="8" max="8" width="11" style="434" customWidth="1"/>
    <col min="10" max="10" width="11" customWidth="1"/>
  </cols>
  <sheetData>
    <row r="1" spans="1:11" ht="15.75" thickBot="1">
      <c r="A1" s="958" t="s">
        <v>223</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70">
        <v>43907</v>
      </c>
      <c r="B4" s="71" t="s">
        <v>224</v>
      </c>
      <c r="C4" s="787">
        <v>248501</v>
      </c>
      <c r="D4" s="793">
        <f>147730.97+51069.83</f>
        <v>198800.8</v>
      </c>
      <c r="E4" s="800"/>
      <c r="F4" s="809" t="str">
        <f t="shared" ref="F4:F23" si="0">IF(ISBLANK(E4),"----",E4-D4)</f>
        <v>----</v>
      </c>
      <c r="G4" s="800"/>
      <c r="H4" s="809" t="str">
        <f t="shared" ref="H4:H23" si="1">IF(OR(G4="Complete",ISBLANK(G4)),"----",G4-$D4)</f>
        <v>----</v>
      </c>
      <c r="I4" s="797"/>
      <c r="J4" s="810" t="str">
        <f t="shared" ref="J4:J23" si="2">IF(OR(I4="Complete",ISBLANK(I4)),"----",I4-$D4)</f>
        <v>----</v>
      </c>
    </row>
    <row r="5" spans="1:11">
      <c r="A5" s="88">
        <v>43907</v>
      </c>
      <c r="B5" s="101" t="s">
        <v>225</v>
      </c>
      <c r="C5" s="790">
        <v>246871</v>
      </c>
      <c r="D5" s="794">
        <v>197496.8</v>
      </c>
      <c r="E5" s="801"/>
      <c r="F5" s="813" t="str">
        <f t="shared" si="0"/>
        <v>----</v>
      </c>
      <c r="G5" s="801"/>
      <c r="H5" s="813" t="str">
        <f t="shared" si="1"/>
        <v>----</v>
      </c>
      <c r="I5" s="798"/>
      <c r="J5" s="814" t="str">
        <f t="shared" si="2"/>
        <v>----</v>
      </c>
    </row>
    <row r="6" spans="1:11">
      <c r="A6" s="102">
        <v>44216</v>
      </c>
      <c r="B6" s="103" t="s">
        <v>379</v>
      </c>
      <c r="C6" s="776">
        <v>510741.75</v>
      </c>
      <c r="D6" s="735">
        <v>128401.75</v>
      </c>
      <c r="E6" s="745"/>
      <c r="F6" s="813" t="str">
        <f t="shared" si="0"/>
        <v>----</v>
      </c>
      <c r="G6" s="745"/>
      <c r="H6" s="813" t="str">
        <f t="shared" si="1"/>
        <v>----</v>
      </c>
      <c r="I6" s="740">
        <f>470664.75-382340</f>
        <v>88324.75</v>
      </c>
      <c r="J6" s="814">
        <f t="shared" si="2"/>
        <v>-40077</v>
      </c>
      <c r="K6" t="s">
        <v>900</v>
      </c>
    </row>
    <row r="7" spans="1:11">
      <c r="A7" s="224">
        <v>44397</v>
      </c>
      <c r="B7" s="225" t="s">
        <v>441</v>
      </c>
      <c r="C7" s="867">
        <v>1247520.6000000001</v>
      </c>
      <c r="D7" s="868">
        <f>C7</f>
        <v>1247520.6000000001</v>
      </c>
      <c r="E7" s="869"/>
      <c r="F7" s="870" t="str">
        <f t="shared" si="0"/>
        <v>----</v>
      </c>
      <c r="G7" s="869"/>
      <c r="H7" s="870" t="str">
        <f t="shared" si="1"/>
        <v>----</v>
      </c>
      <c r="I7" s="871"/>
      <c r="J7" s="872" t="str">
        <f t="shared" si="2"/>
        <v>----</v>
      </c>
      <c r="K7" t="s">
        <v>415</v>
      </c>
    </row>
    <row r="8" spans="1:11">
      <c r="A8" s="102">
        <v>44580</v>
      </c>
      <c r="B8" s="103" t="s">
        <v>441</v>
      </c>
      <c r="C8" s="776">
        <v>1345519.35</v>
      </c>
      <c r="D8" s="735">
        <f>C8</f>
        <v>1345519.35</v>
      </c>
      <c r="E8" s="745"/>
      <c r="F8" s="813" t="str">
        <f t="shared" si="0"/>
        <v>----</v>
      </c>
      <c r="G8" s="745"/>
      <c r="H8" s="813" t="str">
        <f t="shared" si="1"/>
        <v>----</v>
      </c>
      <c r="I8" s="740"/>
      <c r="J8" s="814" t="str">
        <f t="shared" si="2"/>
        <v>----</v>
      </c>
    </row>
    <row r="9" spans="1:11">
      <c r="A9" s="102">
        <v>45853</v>
      </c>
      <c r="B9" s="727" t="s">
        <v>891</v>
      </c>
      <c r="C9" s="776">
        <v>505988.6</v>
      </c>
      <c r="D9" s="735">
        <f>C9</f>
        <v>505988.6</v>
      </c>
      <c r="E9" s="745"/>
      <c r="F9" s="813" t="str">
        <f t="shared" si="0"/>
        <v>----</v>
      </c>
      <c r="G9" s="745"/>
      <c r="H9" s="813" t="str">
        <f t="shared" si="1"/>
        <v>----</v>
      </c>
      <c r="I9" s="740"/>
      <c r="J9" s="814" t="str">
        <f t="shared" si="2"/>
        <v>----</v>
      </c>
    </row>
    <row r="10" spans="1:11">
      <c r="A10" s="102"/>
      <c r="B10" s="103"/>
      <c r="C10" s="776"/>
      <c r="D10" s="735"/>
      <c r="E10" s="745"/>
      <c r="F10" s="813" t="str">
        <f t="shared" si="0"/>
        <v>----</v>
      </c>
      <c r="G10" s="745"/>
      <c r="H10" s="813" t="str">
        <f t="shared" si="1"/>
        <v>----</v>
      </c>
      <c r="I10" s="740"/>
      <c r="J10" s="814" t="str">
        <f t="shared" si="2"/>
        <v>----</v>
      </c>
    </row>
    <row r="11" spans="1:11">
      <c r="A11" s="102"/>
      <c r="B11" s="103"/>
      <c r="C11" s="776"/>
      <c r="D11" s="735"/>
      <c r="E11" s="745"/>
      <c r="F11" s="813" t="str">
        <f t="shared" si="0"/>
        <v>----</v>
      </c>
      <c r="G11" s="745"/>
      <c r="H11" s="813" t="str">
        <f t="shared" si="1"/>
        <v>----</v>
      </c>
      <c r="I11" s="740"/>
      <c r="J11" s="814" t="str">
        <f t="shared" si="2"/>
        <v>----</v>
      </c>
    </row>
    <row r="12" spans="1:11">
      <c r="A12" s="102"/>
      <c r="B12" s="103"/>
      <c r="C12" s="776"/>
      <c r="D12" s="735"/>
      <c r="E12" s="745"/>
      <c r="F12" s="813" t="str">
        <f t="shared" si="0"/>
        <v>----</v>
      </c>
      <c r="G12" s="745"/>
      <c r="H12" s="813" t="str">
        <f t="shared" si="1"/>
        <v>----</v>
      </c>
      <c r="I12" s="740"/>
      <c r="J12" s="814" t="str">
        <f t="shared" si="2"/>
        <v>----</v>
      </c>
    </row>
    <row r="13" spans="1:11">
      <c r="A13" s="102"/>
      <c r="B13" s="103"/>
      <c r="C13" s="776"/>
      <c r="D13" s="735"/>
      <c r="E13" s="745"/>
      <c r="F13" s="813" t="str">
        <f t="shared" si="0"/>
        <v>----</v>
      </c>
      <c r="G13" s="745"/>
      <c r="H13" s="813" t="str">
        <f t="shared" si="1"/>
        <v>----</v>
      </c>
      <c r="I13" s="740"/>
      <c r="J13" s="814" t="str">
        <f t="shared" si="2"/>
        <v>----</v>
      </c>
    </row>
    <row r="14" spans="1:11">
      <c r="A14" s="102"/>
      <c r="B14" s="103"/>
      <c r="C14" s="776"/>
      <c r="D14" s="735"/>
      <c r="E14" s="745"/>
      <c r="F14" s="813" t="str">
        <f t="shared" si="0"/>
        <v>----</v>
      </c>
      <c r="G14" s="745"/>
      <c r="H14" s="813" t="str">
        <f t="shared" si="1"/>
        <v>----</v>
      </c>
      <c r="I14" s="740"/>
      <c r="J14" s="814" t="str">
        <f t="shared" si="2"/>
        <v>----</v>
      </c>
    </row>
    <row r="15" spans="1:11">
      <c r="A15" s="102"/>
      <c r="B15" s="103"/>
      <c r="C15" s="776"/>
      <c r="D15" s="735"/>
      <c r="E15" s="745"/>
      <c r="F15" s="813" t="str">
        <f t="shared" si="0"/>
        <v>----</v>
      </c>
      <c r="G15" s="745"/>
      <c r="H15" s="813" t="str">
        <f t="shared" si="1"/>
        <v>----</v>
      </c>
      <c r="I15" s="740"/>
      <c r="J15" s="814" t="str">
        <f t="shared" si="2"/>
        <v>----</v>
      </c>
    </row>
    <row r="16" spans="1:11">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02"/>
      <c r="B20" s="103"/>
      <c r="C20" s="776"/>
      <c r="D20" s="735"/>
      <c r="E20" s="745"/>
      <c r="F20" s="813" t="str">
        <f t="shared" si="0"/>
        <v>----</v>
      </c>
      <c r="G20" s="745"/>
      <c r="H20" s="813" t="str">
        <f t="shared" si="1"/>
        <v>----</v>
      </c>
      <c r="I20" s="740"/>
      <c r="J20" s="814" t="str">
        <f t="shared" si="2"/>
        <v>----</v>
      </c>
    </row>
    <row r="21" spans="1:10">
      <c r="A21" s="102"/>
      <c r="B21" s="103"/>
      <c r="C21" s="776"/>
      <c r="D21" s="735"/>
      <c r="E21" s="745"/>
      <c r="F21" s="813" t="str">
        <f t="shared" si="0"/>
        <v>----</v>
      </c>
      <c r="G21" s="745"/>
      <c r="H21" s="813" t="str">
        <f t="shared" si="1"/>
        <v>----</v>
      </c>
      <c r="I21" s="740"/>
      <c r="J21" s="814" t="str">
        <f t="shared" si="2"/>
        <v>----</v>
      </c>
    </row>
    <row r="22" spans="1:10">
      <c r="A22" s="116"/>
      <c r="B22" s="117"/>
      <c r="C22" s="779"/>
      <c r="D22" s="795"/>
      <c r="E22" s="746"/>
      <c r="F22" s="813" t="str">
        <f t="shared" si="0"/>
        <v>----</v>
      </c>
      <c r="G22" s="746"/>
      <c r="H22" s="813" t="str">
        <f t="shared" si="1"/>
        <v>----</v>
      </c>
      <c r="I22" s="741"/>
      <c r="J22" s="814" t="str">
        <f t="shared" si="2"/>
        <v>----</v>
      </c>
    </row>
    <row r="23" spans="1:10" ht="15.75" thickBot="1">
      <c r="A23" s="74"/>
      <c r="B23" s="75"/>
      <c r="C23" s="789"/>
      <c r="D23" s="796"/>
      <c r="E23" s="802"/>
      <c r="F23" s="807" t="str">
        <f t="shared" si="0"/>
        <v>----</v>
      </c>
      <c r="G23" s="802"/>
      <c r="H23" s="807" t="str">
        <f t="shared" si="1"/>
        <v>----</v>
      </c>
      <c r="I23" s="799"/>
      <c r="J23" s="808" t="str">
        <f t="shared" si="2"/>
        <v>----</v>
      </c>
    </row>
    <row r="24" spans="1:10" ht="15.75" thickBot="1">
      <c r="A24" s="27"/>
      <c r="B24" s="27"/>
      <c r="C24" s="28"/>
      <c r="D24" s="28"/>
      <c r="E24" s="441"/>
      <c r="F24" s="443">
        <f>SUM(F4:F23)</f>
        <v>0</v>
      </c>
      <c r="G24" s="441"/>
      <c r="H24" s="443">
        <f>SUM(H4:H23)</f>
        <v>0</v>
      </c>
      <c r="I24" s="28"/>
      <c r="J24" s="69">
        <f>SUM(J4:J23)</f>
        <v>-40077</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L25"/>
  <sheetViews>
    <sheetView workbookViewId="0">
      <selection activeCell="D12" sqref="D12"/>
    </sheetView>
  </sheetViews>
  <sheetFormatPr defaultRowHeight="15"/>
  <cols>
    <col min="2" max="2" width="22.85546875" bestFit="1" customWidth="1"/>
    <col min="3" max="4" width="12" bestFit="1" customWidth="1"/>
    <col min="5" max="5" width="10.7109375" style="434" bestFit="1" customWidth="1"/>
    <col min="6" max="6" width="13.28515625" style="434" customWidth="1"/>
    <col min="7" max="7" width="12" style="434" bestFit="1" customWidth="1"/>
    <col min="8" max="8" width="13.28515625" style="434" customWidth="1"/>
    <col min="9" max="9" width="10.7109375" bestFit="1" customWidth="1"/>
    <col min="10" max="10" width="13.28515625" customWidth="1"/>
    <col min="11" max="11" width="11.140625" bestFit="1" customWidth="1"/>
  </cols>
  <sheetData>
    <row r="1" spans="1:12" ht="15.75" thickBot="1">
      <c r="A1" s="958" t="s">
        <v>271</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46.5" thickBot="1">
      <c r="A3" s="966"/>
      <c r="B3" s="968"/>
      <c r="C3" s="968"/>
      <c r="D3" s="980"/>
      <c r="E3" s="462" t="s">
        <v>121</v>
      </c>
      <c r="F3" s="470" t="s">
        <v>113</v>
      </c>
      <c r="G3" s="462" t="s">
        <v>121</v>
      </c>
      <c r="H3" s="470" t="s">
        <v>113</v>
      </c>
      <c r="I3" s="480" t="s">
        <v>121</v>
      </c>
      <c r="J3" s="25" t="s">
        <v>113</v>
      </c>
    </row>
    <row r="4" spans="1:12">
      <c r="A4" s="70">
        <v>44089</v>
      </c>
      <c r="B4" s="71" t="s">
        <v>304</v>
      </c>
      <c r="C4" s="787">
        <v>919799.95</v>
      </c>
      <c r="D4" s="793">
        <f>C4</f>
        <v>919799.95</v>
      </c>
      <c r="E4" s="800">
        <v>802676.22</v>
      </c>
      <c r="F4" s="809">
        <f t="shared" ref="F4:F24" si="0">IF(ISBLANK(E4),"----",E4-D4)</f>
        <v>-117123.72999999998</v>
      </c>
      <c r="G4" s="800" t="s">
        <v>703</v>
      </c>
      <c r="H4" s="809" t="str">
        <f t="shared" ref="H4:H24" si="1">IF(OR(G4="Complete",ISBLANK(G4)),"----",G4-$D4)</f>
        <v>----</v>
      </c>
      <c r="I4" s="797" t="s">
        <v>703</v>
      </c>
      <c r="J4" s="810" t="str">
        <f t="shared" ref="J4:J24" si="2">IF(OR(I4="Complete",ISBLANK(I4)),"----",I4-$D4)</f>
        <v>----</v>
      </c>
    </row>
    <row r="5" spans="1:12">
      <c r="A5" s="88">
        <v>44306</v>
      </c>
      <c r="B5" s="101" t="s">
        <v>424</v>
      </c>
      <c r="C5" s="790">
        <v>440634.6</v>
      </c>
      <c r="D5" s="794">
        <v>352507.68</v>
      </c>
      <c r="E5" s="801"/>
      <c r="F5" s="813" t="str">
        <f t="shared" si="0"/>
        <v>----</v>
      </c>
      <c r="G5" s="801"/>
      <c r="H5" s="813" t="str">
        <f t="shared" si="1"/>
        <v>----</v>
      </c>
      <c r="I5" s="798"/>
      <c r="J5" s="814" t="str">
        <f t="shared" si="2"/>
        <v>----</v>
      </c>
    </row>
    <row r="6" spans="1:12">
      <c r="A6" s="102">
        <v>44397</v>
      </c>
      <c r="B6" s="103" t="s">
        <v>442</v>
      </c>
      <c r="C6" s="776">
        <v>2032576.17</v>
      </c>
      <c r="D6" s="735">
        <v>1076726.17</v>
      </c>
      <c r="E6" s="745"/>
      <c r="F6" s="777" t="str">
        <f t="shared" si="0"/>
        <v>----</v>
      </c>
      <c r="G6" s="745">
        <f>1941271.2-955850</f>
        <v>985421.2</v>
      </c>
      <c r="H6" s="777">
        <f t="shared" si="1"/>
        <v>-91304.969999999972</v>
      </c>
      <c r="I6" s="740" t="s">
        <v>703</v>
      </c>
      <c r="J6" s="778" t="str">
        <f t="shared" si="2"/>
        <v>----</v>
      </c>
      <c r="K6" s="785" t="s">
        <v>805</v>
      </c>
    </row>
    <row r="7" spans="1:12">
      <c r="A7" s="102">
        <v>44425</v>
      </c>
      <c r="B7" s="103" t="s">
        <v>445</v>
      </c>
      <c r="C7" s="776">
        <v>2603442.42</v>
      </c>
      <c r="D7" s="735">
        <v>1103442.3999999999</v>
      </c>
      <c r="E7" s="745"/>
      <c r="F7" s="777" t="str">
        <f t="shared" si="0"/>
        <v>----</v>
      </c>
      <c r="G7" s="745">
        <f>2553990.14-1500000</f>
        <v>1053990.1400000001</v>
      </c>
      <c r="H7" s="777">
        <f t="shared" si="1"/>
        <v>-49452.259999999776</v>
      </c>
      <c r="I7" s="740" t="s">
        <v>703</v>
      </c>
      <c r="J7" s="778" t="str">
        <f t="shared" si="2"/>
        <v>----</v>
      </c>
      <c r="K7" t="s">
        <v>446</v>
      </c>
    </row>
    <row r="8" spans="1:12">
      <c r="A8" s="102">
        <v>44460</v>
      </c>
      <c r="B8" s="103" t="s">
        <v>456</v>
      </c>
      <c r="C8" s="776">
        <v>621156.1</v>
      </c>
      <c r="D8" s="735">
        <v>124231.22</v>
      </c>
      <c r="E8" s="745"/>
      <c r="F8" s="777" t="str">
        <f t="shared" si="0"/>
        <v>----</v>
      </c>
      <c r="G8" s="745"/>
      <c r="H8" s="777" t="str">
        <f t="shared" si="1"/>
        <v>----</v>
      </c>
      <c r="I8" s="740"/>
      <c r="J8" s="778" t="str">
        <f t="shared" si="2"/>
        <v>----</v>
      </c>
    </row>
    <row r="9" spans="1:12">
      <c r="A9" s="102">
        <v>44880</v>
      </c>
      <c r="B9" s="103" t="s">
        <v>594</v>
      </c>
      <c r="C9" s="776">
        <v>2462334.34</v>
      </c>
      <c r="D9" s="735">
        <v>1462334.34</v>
      </c>
      <c r="E9" s="745"/>
      <c r="F9" s="777" t="str">
        <f t="shared" si="0"/>
        <v>----</v>
      </c>
      <c r="G9" s="745"/>
      <c r="H9" s="777" t="str">
        <f t="shared" si="1"/>
        <v>----</v>
      </c>
      <c r="I9" s="740"/>
      <c r="J9" s="778" t="str">
        <f t="shared" si="2"/>
        <v>----</v>
      </c>
      <c r="K9" t="s">
        <v>595</v>
      </c>
    </row>
    <row r="10" spans="1:12">
      <c r="A10" s="102">
        <v>45797</v>
      </c>
      <c r="B10" s="727" t="s">
        <v>875</v>
      </c>
      <c r="C10" s="776">
        <v>1669266.76</v>
      </c>
      <c r="D10" s="735">
        <f>C10-K10</f>
        <v>709266.76</v>
      </c>
      <c r="E10" s="745"/>
      <c r="F10" s="777" t="str">
        <f t="shared" si="0"/>
        <v>----</v>
      </c>
      <c r="G10" s="745"/>
      <c r="H10" s="777" t="str">
        <f t="shared" si="1"/>
        <v>----</v>
      </c>
      <c r="I10" s="740"/>
      <c r="J10" s="778" t="str">
        <f t="shared" si="2"/>
        <v>----</v>
      </c>
      <c r="K10" s="725">
        <v>960000</v>
      </c>
      <c r="L10" t="s">
        <v>876</v>
      </c>
    </row>
    <row r="11" spans="1:12">
      <c r="A11" s="102">
        <v>45825</v>
      </c>
      <c r="B11" s="727" t="s">
        <v>880</v>
      </c>
      <c r="C11" s="776">
        <v>597600.61</v>
      </c>
      <c r="D11" s="735">
        <f>C11</f>
        <v>597600.61</v>
      </c>
      <c r="E11" s="745"/>
      <c r="F11" s="777" t="str">
        <f t="shared" si="0"/>
        <v>----</v>
      </c>
      <c r="G11" s="745"/>
      <c r="H11" s="777" t="str">
        <f t="shared" si="1"/>
        <v>----</v>
      </c>
      <c r="I11" s="740"/>
      <c r="J11" s="778" t="str">
        <f t="shared" si="2"/>
        <v>----</v>
      </c>
    </row>
    <row r="12" spans="1:12">
      <c r="A12" s="102"/>
      <c r="B12" s="103"/>
      <c r="C12" s="776"/>
      <c r="D12" s="735"/>
      <c r="E12" s="745"/>
      <c r="F12" s="777" t="str">
        <f t="shared" si="0"/>
        <v>----</v>
      </c>
      <c r="G12" s="745"/>
      <c r="H12" s="777" t="str">
        <f t="shared" si="1"/>
        <v>----</v>
      </c>
      <c r="I12" s="740"/>
      <c r="J12" s="778" t="str">
        <f t="shared" si="2"/>
        <v>----</v>
      </c>
    </row>
    <row r="13" spans="1:12">
      <c r="A13" s="102"/>
      <c r="B13" s="103"/>
      <c r="C13" s="776"/>
      <c r="D13" s="735"/>
      <c r="E13" s="745"/>
      <c r="F13" s="777" t="str">
        <f t="shared" si="0"/>
        <v>----</v>
      </c>
      <c r="G13" s="745"/>
      <c r="H13" s="777" t="str">
        <f t="shared" si="1"/>
        <v>----</v>
      </c>
      <c r="I13" s="740"/>
      <c r="J13" s="778" t="str">
        <f t="shared" si="2"/>
        <v>----</v>
      </c>
    </row>
    <row r="14" spans="1:12">
      <c r="A14" s="102"/>
      <c r="B14" s="103"/>
      <c r="C14" s="776"/>
      <c r="D14" s="735"/>
      <c r="E14" s="745"/>
      <c r="F14" s="777" t="str">
        <f t="shared" si="0"/>
        <v>----</v>
      </c>
      <c r="G14" s="745"/>
      <c r="H14" s="777" t="str">
        <f t="shared" si="1"/>
        <v>----</v>
      </c>
      <c r="I14" s="740"/>
      <c r="J14" s="778" t="str">
        <f t="shared" si="2"/>
        <v>----</v>
      </c>
    </row>
    <row r="15" spans="1:12">
      <c r="A15" s="102"/>
      <c r="B15" s="103"/>
      <c r="C15" s="776"/>
      <c r="D15" s="735"/>
      <c r="E15" s="745"/>
      <c r="F15" s="777" t="str">
        <f t="shared" si="0"/>
        <v>----</v>
      </c>
      <c r="G15" s="745"/>
      <c r="H15" s="777" t="str">
        <f t="shared" si="1"/>
        <v>----</v>
      </c>
      <c r="I15" s="740"/>
      <c r="J15" s="778" t="str">
        <f t="shared" si="2"/>
        <v>----</v>
      </c>
    </row>
    <row r="16" spans="1:12">
      <c r="A16" s="102"/>
      <c r="B16" s="103"/>
      <c r="C16" s="776"/>
      <c r="D16" s="735"/>
      <c r="E16" s="745"/>
      <c r="F16" s="777" t="str">
        <f t="shared" si="0"/>
        <v>----</v>
      </c>
      <c r="G16" s="745"/>
      <c r="H16" s="777" t="str">
        <f t="shared" si="1"/>
        <v>----</v>
      </c>
      <c r="I16" s="740"/>
      <c r="J16" s="778" t="str">
        <f t="shared" si="2"/>
        <v>----</v>
      </c>
    </row>
    <row r="17" spans="1:10">
      <c r="A17" s="102"/>
      <c r="B17" s="103"/>
      <c r="C17" s="776"/>
      <c r="D17" s="735"/>
      <c r="E17" s="745"/>
      <c r="F17" s="777" t="str">
        <f t="shared" si="0"/>
        <v>----</v>
      </c>
      <c r="G17" s="745"/>
      <c r="H17" s="777" t="str">
        <f t="shared" si="1"/>
        <v>----</v>
      </c>
      <c r="I17" s="740"/>
      <c r="J17" s="778" t="str">
        <f t="shared" si="2"/>
        <v>----</v>
      </c>
    </row>
    <row r="18" spans="1:10">
      <c r="A18" s="102"/>
      <c r="B18" s="103"/>
      <c r="C18" s="776"/>
      <c r="D18" s="735"/>
      <c r="E18" s="745"/>
      <c r="F18" s="777" t="str">
        <f t="shared" si="0"/>
        <v>----</v>
      </c>
      <c r="G18" s="745"/>
      <c r="H18" s="777" t="str">
        <f t="shared" si="1"/>
        <v>----</v>
      </c>
      <c r="I18" s="740"/>
      <c r="J18" s="778" t="str">
        <f t="shared" si="2"/>
        <v>----</v>
      </c>
    </row>
    <row r="19" spans="1:10">
      <c r="A19" s="102"/>
      <c r="B19" s="103"/>
      <c r="C19" s="776"/>
      <c r="D19" s="735"/>
      <c r="E19" s="745"/>
      <c r="F19" s="777" t="str">
        <f t="shared" si="0"/>
        <v>----</v>
      </c>
      <c r="G19" s="745"/>
      <c r="H19" s="777" t="str">
        <f t="shared" si="1"/>
        <v>----</v>
      </c>
      <c r="I19" s="740"/>
      <c r="J19" s="778" t="str">
        <f t="shared" si="2"/>
        <v>----</v>
      </c>
    </row>
    <row r="20" spans="1:10">
      <c r="A20" s="102"/>
      <c r="B20" s="103"/>
      <c r="C20" s="776"/>
      <c r="D20" s="735"/>
      <c r="E20" s="745"/>
      <c r="F20" s="777" t="str">
        <f t="shared" si="0"/>
        <v>----</v>
      </c>
      <c r="G20" s="745"/>
      <c r="H20" s="777" t="str">
        <f t="shared" si="1"/>
        <v>----</v>
      </c>
      <c r="I20" s="740"/>
      <c r="J20" s="778" t="str">
        <f t="shared" si="2"/>
        <v>----</v>
      </c>
    </row>
    <row r="21" spans="1:10">
      <c r="A21" s="102"/>
      <c r="B21" s="103"/>
      <c r="C21" s="776"/>
      <c r="D21" s="735"/>
      <c r="E21" s="745"/>
      <c r="F21" s="777" t="str">
        <f t="shared" si="0"/>
        <v>----</v>
      </c>
      <c r="G21" s="745"/>
      <c r="H21" s="777" t="str">
        <f t="shared" si="1"/>
        <v>----</v>
      </c>
      <c r="I21" s="740"/>
      <c r="J21" s="778" t="str">
        <f t="shared" si="2"/>
        <v>----</v>
      </c>
    </row>
    <row r="22" spans="1:10">
      <c r="A22" s="102"/>
      <c r="B22" s="103"/>
      <c r="C22" s="776"/>
      <c r="D22" s="735"/>
      <c r="E22" s="745"/>
      <c r="F22" s="777" t="str">
        <f t="shared" si="0"/>
        <v>----</v>
      </c>
      <c r="G22" s="745"/>
      <c r="H22" s="777" t="str">
        <f t="shared" si="1"/>
        <v>----</v>
      </c>
      <c r="I22" s="740"/>
      <c r="J22" s="778" t="str">
        <f t="shared" si="2"/>
        <v>----</v>
      </c>
    </row>
    <row r="23" spans="1:10">
      <c r="A23" s="116"/>
      <c r="B23" s="117"/>
      <c r="C23" s="779"/>
      <c r="D23" s="795"/>
      <c r="E23" s="746"/>
      <c r="F23" s="780" t="str">
        <f t="shared" si="0"/>
        <v>----</v>
      </c>
      <c r="G23" s="746"/>
      <c r="H23" s="780" t="str">
        <f t="shared" si="1"/>
        <v>----</v>
      </c>
      <c r="I23" s="741"/>
      <c r="J23" s="781"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-117123.72999999998</v>
      </c>
      <c r="G25" s="441"/>
      <c r="H25" s="443">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4"/>
    <col min="7" max="7" width="10.7109375" style="434" bestFit="1" customWidth="1"/>
    <col min="8" max="8" width="9.5703125" style="434" bestFit="1" customWidth="1"/>
  </cols>
  <sheetData>
    <row r="1" spans="1:10" ht="15.75" thickBot="1">
      <c r="A1" s="958" t="s">
        <v>272</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69" thickBot="1">
      <c r="A3" s="966"/>
      <c r="B3" s="968"/>
      <c r="C3" s="968"/>
      <c r="D3" s="980"/>
      <c r="E3" s="462" t="s">
        <v>121</v>
      </c>
      <c r="F3" s="470" t="s">
        <v>113</v>
      </c>
      <c r="G3" s="462" t="s">
        <v>121</v>
      </c>
      <c r="H3" s="470" t="s">
        <v>113</v>
      </c>
      <c r="I3" s="480" t="s">
        <v>121</v>
      </c>
      <c r="J3" s="25" t="s">
        <v>113</v>
      </c>
    </row>
    <row r="4" spans="1:10">
      <c r="A4" s="70">
        <v>44089</v>
      </c>
      <c r="B4" s="71" t="s">
        <v>305</v>
      </c>
      <c r="C4" s="72">
        <v>685720.75</v>
      </c>
      <c r="D4" s="431">
        <f>C4</f>
        <v>685720.75</v>
      </c>
      <c r="E4" s="471"/>
      <c r="F4" s="472" t="str">
        <f t="shared" ref="F4:F24" si="0">IF(ISBLANK(E4),"----",E4-D4)</f>
        <v>----</v>
      </c>
      <c r="G4" s="471">
        <v>681296.11</v>
      </c>
      <c r="H4" s="472">
        <f t="shared" ref="H4:H24" si="1">IF(OR(G4="Complete",ISBLANK(G4)),"----",G4-$D4)</f>
        <v>-4424.640000000014</v>
      </c>
      <c r="I4" s="481" t="s">
        <v>703</v>
      </c>
      <c r="J4" s="73" t="str">
        <f t="shared" ref="J4:J24" si="2">IF(OR(I4="Complete",ISBLANK(I4)),"----",I4-$D4)</f>
        <v>----</v>
      </c>
    </row>
    <row r="5" spans="1:10">
      <c r="A5" s="88">
        <v>44425</v>
      </c>
      <c r="B5" s="101" t="s">
        <v>447</v>
      </c>
      <c r="C5" s="82">
        <v>625503.4</v>
      </c>
      <c r="D5" s="433">
        <f>C5</f>
        <v>625503.4</v>
      </c>
      <c r="E5" s="473"/>
      <c r="F5" s="474" t="str">
        <f t="shared" si="0"/>
        <v>----</v>
      </c>
      <c r="G5" s="473">
        <v>620242.5</v>
      </c>
      <c r="H5" s="474">
        <f t="shared" si="1"/>
        <v>-5260.9000000000233</v>
      </c>
      <c r="I5" s="486" t="s">
        <v>703</v>
      </c>
      <c r="J5" s="83" t="str">
        <f t="shared" si="2"/>
        <v>----</v>
      </c>
    </row>
    <row r="6" spans="1:10">
      <c r="A6" s="102">
        <v>45216</v>
      </c>
      <c r="B6" s="103" t="s">
        <v>664</v>
      </c>
      <c r="C6" s="372">
        <v>2878038.12</v>
      </c>
      <c r="D6" s="565">
        <f>C6</f>
        <v>2878038.12</v>
      </c>
      <c r="E6" s="475"/>
      <c r="F6" s="487" t="str">
        <f t="shared" si="0"/>
        <v>----</v>
      </c>
      <c r="G6" s="475"/>
      <c r="H6" s="487" t="str">
        <f t="shared" si="1"/>
        <v>----</v>
      </c>
      <c r="I6" s="488"/>
      <c r="J6" s="115" t="str">
        <f t="shared" si="2"/>
        <v>----</v>
      </c>
    </row>
    <row r="7" spans="1:10">
      <c r="A7" s="102"/>
      <c r="B7" s="103"/>
      <c r="C7" s="87"/>
      <c r="D7" s="468"/>
      <c r="E7" s="475"/>
      <c r="F7" s="487" t="str">
        <f t="shared" si="0"/>
        <v>----</v>
      </c>
      <c r="G7" s="475"/>
      <c r="H7" s="487" t="str">
        <f t="shared" si="1"/>
        <v>----</v>
      </c>
      <c r="I7" s="488"/>
      <c r="J7" s="115" t="str">
        <f t="shared" si="2"/>
        <v>----</v>
      </c>
    </row>
    <row r="8" spans="1:10">
      <c r="A8" s="102"/>
      <c r="B8" s="103"/>
      <c r="C8" s="87"/>
      <c r="D8" s="468"/>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02"/>
      <c r="B19" s="103"/>
      <c r="C19" s="87"/>
      <c r="D19" s="468"/>
      <c r="E19" s="475"/>
      <c r="F19" s="487" t="str">
        <f t="shared" si="0"/>
        <v>----</v>
      </c>
      <c r="G19" s="475"/>
      <c r="H19" s="487" t="str">
        <f t="shared" si="1"/>
        <v>----</v>
      </c>
      <c r="I19" s="488"/>
      <c r="J19" s="115" t="str">
        <f t="shared" si="2"/>
        <v>----</v>
      </c>
    </row>
    <row r="20" spans="1:10">
      <c r="A20" s="102"/>
      <c r="B20" s="103"/>
      <c r="C20" s="87"/>
      <c r="D20" s="468"/>
      <c r="E20" s="475"/>
      <c r="F20" s="487" t="str">
        <f t="shared" si="0"/>
        <v>----</v>
      </c>
      <c r="G20" s="475"/>
      <c r="H20" s="487" t="str">
        <f t="shared" si="1"/>
        <v>----</v>
      </c>
      <c r="I20" s="488"/>
      <c r="J20" s="115" t="str">
        <f t="shared" si="2"/>
        <v>----</v>
      </c>
    </row>
    <row r="21" spans="1:10">
      <c r="A21" s="102"/>
      <c r="B21" s="103"/>
      <c r="C21" s="87"/>
      <c r="D21" s="468"/>
      <c r="E21" s="475"/>
      <c r="F21" s="487" t="str">
        <f t="shared" si="0"/>
        <v>----</v>
      </c>
      <c r="G21" s="475"/>
      <c r="H21" s="487" t="str">
        <f t="shared" si="1"/>
        <v>----</v>
      </c>
      <c r="I21" s="488"/>
      <c r="J21" s="115" t="str">
        <f t="shared" si="2"/>
        <v>----</v>
      </c>
    </row>
    <row r="22" spans="1:10">
      <c r="A22" s="102"/>
      <c r="B22" s="103"/>
      <c r="C22" s="87"/>
      <c r="D22" s="468"/>
      <c r="E22" s="475"/>
      <c r="F22" s="487" t="str">
        <f t="shared" si="0"/>
        <v>----</v>
      </c>
      <c r="G22" s="475"/>
      <c r="H22" s="487" t="str">
        <f t="shared" si="1"/>
        <v>----</v>
      </c>
      <c r="I22" s="488"/>
      <c r="J22" s="115" t="str">
        <f t="shared" si="2"/>
        <v>----</v>
      </c>
    </row>
    <row r="23" spans="1:10">
      <c r="A23" s="91"/>
      <c r="B23" s="92"/>
      <c r="C23" s="84"/>
      <c r="D23" s="479"/>
      <c r="E23" s="484"/>
      <c r="F23" s="485" t="str">
        <f t="shared" si="0"/>
        <v>----</v>
      </c>
      <c r="G23" s="484"/>
      <c r="H23" s="485" t="str">
        <f t="shared" si="1"/>
        <v>----</v>
      </c>
      <c r="I23" s="482"/>
      <c r="J23" s="85" t="str">
        <f t="shared" si="2"/>
        <v>----</v>
      </c>
    </row>
    <row r="24" spans="1:10" ht="15.75" thickBot="1">
      <c r="A24" s="74"/>
      <c r="B24" s="75"/>
      <c r="C24" s="76"/>
      <c r="D24" s="432"/>
      <c r="E24" s="477"/>
      <c r="F24" s="478" t="str">
        <f t="shared" si="0"/>
        <v>----</v>
      </c>
      <c r="G24" s="477"/>
      <c r="H24" s="478" t="str">
        <f t="shared" si="1"/>
        <v>----</v>
      </c>
      <c r="I24" s="483"/>
      <c r="J24" s="77" t="str">
        <f t="shared" si="2"/>
        <v>----</v>
      </c>
    </row>
    <row r="25" spans="1:10" ht="15.75" thickBot="1">
      <c r="A25" s="27"/>
      <c r="B25" s="27"/>
      <c r="C25" s="28"/>
      <c r="D25" s="28"/>
      <c r="E25" s="441"/>
      <c r="F25" s="443">
        <f>SUM(F4:F24)</f>
        <v>0</v>
      </c>
      <c r="G25" s="441"/>
      <c r="H25" s="443">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8" t="s">
        <v>273</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44153</v>
      </c>
      <c r="B4" s="71" t="s">
        <v>334</v>
      </c>
      <c r="C4" s="72">
        <v>412865.8</v>
      </c>
      <c r="D4" s="431">
        <f>C4</f>
        <v>412865.8</v>
      </c>
      <c r="E4" s="471">
        <v>412152.7</v>
      </c>
      <c r="F4" s="472">
        <f t="shared" ref="F4:F14" si="0">IF(ISBLANK(E4),"----",E4-D4)</f>
        <v>-713.09999999997672</v>
      </c>
      <c r="G4" s="471" t="s">
        <v>703</v>
      </c>
      <c r="H4" s="472" t="str">
        <f t="shared" ref="H4:H14" si="1">IF(OR(G4="Complete",ISBLANK(G4)),"----",G4-$D4)</f>
        <v>----</v>
      </c>
      <c r="I4" s="481" t="s">
        <v>703</v>
      </c>
      <c r="J4" s="73" t="str">
        <f t="shared" ref="J4:J14" si="2">IF(OR(I4="Complete",ISBLANK(I4)),"----",I4-$D4)</f>
        <v>----</v>
      </c>
    </row>
    <row r="5" spans="1:10">
      <c r="A5" s="88">
        <v>44488</v>
      </c>
      <c r="B5" s="101" t="s">
        <v>460</v>
      </c>
      <c r="C5" s="82">
        <v>849684.67</v>
      </c>
      <c r="D5" s="433">
        <f>C5</f>
        <v>849684.67</v>
      </c>
      <c r="E5" s="473">
        <v>804253.06</v>
      </c>
      <c r="F5" s="474">
        <f t="shared" si="0"/>
        <v>-45431.609999999986</v>
      </c>
      <c r="G5" s="473" t="s">
        <v>703</v>
      </c>
      <c r="H5" s="474" t="str">
        <f t="shared" si="1"/>
        <v>----</v>
      </c>
      <c r="I5" s="486" t="s">
        <v>703</v>
      </c>
      <c r="J5" s="83" t="str">
        <f t="shared" si="2"/>
        <v>----</v>
      </c>
    </row>
    <row r="6" spans="1:10">
      <c r="A6" s="88">
        <v>45153</v>
      </c>
      <c r="B6" s="101" t="s">
        <v>656</v>
      </c>
      <c r="C6" s="376">
        <v>2862114.42</v>
      </c>
      <c r="D6" s="566">
        <f>C6-20000</f>
        <v>2842114.42</v>
      </c>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ht="15.75" thickBot="1">
      <c r="A14" s="74"/>
      <c r="B14" s="75"/>
      <c r="C14" s="76"/>
      <c r="D14" s="432"/>
      <c r="E14" s="477"/>
      <c r="F14" s="478" t="str">
        <f t="shared" si="0"/>
        <v>----</v>
      </c>
      <c r="G14" s="477"/>
      <c r="H14" s="478" t="str">
        <f t="shared" si="1"/>
        <v>----</v>
      </c>
      <c r="I14" s="483"/>
      <c r="J14" s="77" t="str">
        <f t="shared" si="2"/>
        <v>----</v>
      </c>
    </row>
    <row r="15" spans="1:10" ht="15.75" thickBot="1">
      <c r="A15" s="27"/>
      <c r="B15" s="27"/>
      <c r="C15" s="28"/>
      <c r="D15" s="28"/>
      <c r="E15" s="441"/>
      <c r="F15" s="443">
        <f>SUM(F4:F14)</f>
        <v>-46144.709999999963</v>
      </c>
      <c r="G15" s="441"/>
      <c r="H15" s="443">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4"/>
    <col min="6" max="6" width="13.85546875" style="434" customWidth="1"/>
    <col min="7" max="7" width="9.5703125" style="434" bestFit="1" customWidth="1"/>
    <col min="8" max="8" width="13.85546875" style="434" customWidth="1"/>
    <col min="9" max="9" width="10.7109375" bestFit="1" customWidth="1"/>
    <col min="10" max="10" width="13.85546875" customWidth="1"/>
    <col min="11" max="11" width="11.140625" bestFit="1" customWidth="1"/>
  </cols>
  <sheetData>
    <row r="1" spans="1:12" ht="15.75" thickBot="1">
      <c r="A1" s="958" t="s">
        <v>226</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46.5" thickBot="1">
      <c r="A3" s="966"/>
      <c r="B3" s="968"/>
      <c r="C3" s="968"/>
      <c r="D3" s="980"/>
      <c r="E3" s="462" t="s">
        <v>121</v>
      </c>
      <c r="F3" s="470" t="s">
        <v>113</v>
      </c>
      <c r="G3" s="462" t="s">
        <v>121</v>
      </c>
      <c r="H3" s="470" t="s">
        <v>113</v>
      </c>
      <c r="I3" s="480" t="s">
        <v>121</v>
      </c>
      <c r="J3" s="25" t="s">
        <v>113</v>
      </c>
    </row>
    <row r="4" spans="1:12">
      <c r="A4" s="70">
        <v>43907</v>
      </c>
      <c r="B4" s="71" t="s">
        <v>227</v>
      </c>
      <c r="C4" s="787">
        <v>1281590.32</v>
      </c>
      <c r="D4" s="793">
        <f>C4</f>
        <v>1281590.32</v>
      </c>
      <c r="E4" s="800"/>
      <c r="F4" s="809" t="str">
        <f t="shared" ref="F4:F24" si="0">IF(ISBLANK(E4),"----",E4-D4)</f>
        <v>----</v>
      </c>
      <c r="G4" s="800"/>
      <c r="H4" s="809" t="str">
        <f t="shared" ref="H4:H24" si="1">IF(OR(G4="Complete",ISBLANK(G4)),"----",G4-$D4)</f>
        <v>----</v>
      </c>
      <c r="I4" s="797"/>
      <c r="J4" s="810" t="str">
        <f t="shared" ref="J4:J24" si="2">IF(OR(I4="Complete",ISBLANK(I4)),"----",I4-$D4)</f>
        <v>----</v>
      </c>
    </row>
    <row r="5" spans="1:12">
      <c r="A5" s="88">
        <v>43907</v>
      </c>
      <c r="B5" s="101" t="s">
        <v>228</v>
      </c>
      <c r="C5" s="790">
        <v>1298278.68</v>
      </c>
      <c r="D5" s="794">
        <f>C5</f>
        <v>1298278.68</v>
      </c>
      <c r="E5" s="801"/>
      <c r="F5" s="813" t="str">
        <f t="shared" si="0"/>
        <v>----</v>
      </c>
      <c r="G5" s="801"/>
      <c r="H5" s="813" t="str">
        <f t="shared" si="1"/>
        <v>----</v>
      </c>
      <c r="I5" s="798"/>
      <c r="J5" s="814" t="str">
        <f t="shared" si="2"/>
        <v>----</v>
      </c>
    </row>
    <row r="6" spans="1:12">
      <c r="A6" s="102">
        <v>44216</v>
      </c>
      <c r="B6" s="103" t="s">
        <v>380</v>
      </c>
      <c r="C6" s="776">
        <v>668066.63</v>
      </c>
      <c r="D6" s="735">
        <v>340346.63</v>
      </c>
      <c r="E6" s="745"/>
      <c r="F6" s="813" t="str">
        <f t="shared" si="0"/>
        <v>----</v>
      </c>
      <c r="G6" s="745">
        <f>634596.46-K6</f>
        <v>306876.45999999996</v>
      </c>
      <c r="H6" s="813">
        <f t="shared" si="1"/>
        <v>-33470.170000000042</v>
      </c>
      <c r="I6" s="740"/>
      <c r="J6" s="814" t="str">
        <f t="shared" si="2"/>
        <v>----</v>
      </c>
      <c r="K6" s="725">
        <v>327720</v>
      </c>
      <c r="L6" t="s">
        <v>811</v>
      </c>
    </row>
    <row r="7" spans="1:12">
      <c r="A7" s="102">
        <v>44880</v>
      </c>
      <c r="B7" s="103" t="s">
        <v>596</v>
      </c>
      <c r="C7" s="776">
        <v>1427198.19</v>
      </c>
      <c r="D7" s="735">
        <f>C7</f>
        <v>1427198.19</v>
      </c>
      <c r="E7" s="745"/>
      <c r="F7" s="813" t="str">
        <f t="shared" si="0"/>
        <v>----</v>
      </c>
      <c r="G7" s="745"/>
      <c r="H7" s="813" t="str">
        <f t="shared" si="1"/>
        <v>----</v>
      </c>
      <c r="I7" s="740"/>
      <c r="J7" s="814" t="str">
        <f t="shared" si="2"/>
        <v>----</v>
      </c>
      <c r="L7" t="s">
        <v>512</v>
      </c>
    </row>
    <row r="8" spans="1:12">
      <c r="A8" s="990">
        <v>45706</v>
      </c>
      <c r="B8" s="220" t="s">
        <v>840</v>
      </c>
      <c r="C8" s="764">
        <f>332734.14/2</f>
        <v>166367.07</v>
      </c>
      <c r="D8" s="765">
        <f>C8</f>
        <v>166367.07</v>
      </c>
      <c r="E8" s="766"/>
      <c r="F8" s="822" t="str">
        <f t="shared" si="0"/>
        <v>----</v>
      </c>
      <c r="G8" s="766"/>
      <c r="H8" s="822" t="str">
        <f t="shared" si="1"/>
        <v>----</v>
      </c>
      <c r="I8" s="768"/>
      <c r="J8" s="823" t="str">
        <f t="shared" si="2"/>
        <v>----</v>
      </c>
      <c r="K8" t="s">
        <v>842</v>
      </c>
    </row>
    <row r="9" spans="1:12">
      <c r="A9" s="991"/>
      <c r="B9" s="220" t="s">
        <v>841</v>
      </c>
      <c r="C9" s="764">
        <f>237813.5/2</f>
        <v>118906.75</v>
      </c>
      <c r="D9" s="765">
        <f>C9</f>
        <v>118906.75</v>
      </c>
      <c r="E9" s="766"/>
      <c r="F9" s="822" t="str">
        <f t="shared" si="0"/>
        <v>----</v>
      </c>
      <c r="G9" s="766"/>
      <c r="H9" s="822" t="str">
        <f t="shared" si="1"/>
        <v>----</v>
      </c>
      <c r="I9" s="768"/>
      <c r="J9" s="823" t="str">
        <f t="shared" si="2"/>
        <v>----</v>
      </c>
      <c r="K9" s="786" t="s">
        <v>843</v>
      </c>
    </row>
    <row r="10" spans="1:12">
      <c r="A10" s="102">
        <v>45762</v>
      </c>
      <c r="B10" s="727" t="s">
        <v>869</v>
      </c>
      <c r="C10" s="776">
        <v>844203.75</v>
      </c>
      <c r="D10" s="735">
        <f>C10</f>
        <v>844203.75</v>
      </c>
      <c r="E10" s="745"/>
      <c r="F10" s="813" t="str">
        <f t="shared" si="0"/>
        <v>----</v>
      </c>
      <c r="G10" s="745"/>
      <c r="H10" s="813" t="str">
        <f t="shared" si="1"/>
        <v>----</v>
      </c>
      <c r="I10" s="740"/>
      <c r="J10" s="814" t="str">
        <f t="shared" si="2"/>
        <v>----</v>
      </c>
    </row>
    <row r="11" spans="1:12">
      <c r="A11" s="102"/>
      <c r="B11" s="103"/>
      <c r="C11" s="776"/>
      <c r="D11" s="735"/>
      <c r="E11" s="745"/>
      <c r="F11" s="813" t="str">
        <f t="shared" si="0"/>
        <v>----</v>
      </c>
      <c r="G11" s="745"/>
      <c r="H11" s="813" t="str">
        <f t="shared" si="1"/>
        <v>----</v>
      </c>
      <c r="I11" s="740"/>
      <c r="J11" s="814" t="str">
        <f t="shared" si="2"/>
        <v>----</v>
      </c>
    </row>
    <row r="12" spans="1:12">
      <c r="A12" s="102"/>
      <c r="B12" s="103"/>
      <c r="C12" s="776"/>
      <c r="D12" s="735"/>
      <c r="E12" s="745"/>
      <c r="F12" s="813" t="str">
        <f t="shared" si="0"/>
        <v>----</v>
      </c>
      <c r="G12" s="745"/>
      <c r="H12" s="813" t="str">
        <f t="shared" si="1"/>
        <v>----</v>
      </c>
      <c r="I12" s="740"/>
      <c r="J12" s="814" t="str">
        <f t="shared" si="2"/>
        <v>----</v>
      </c>
    </row>
    <row r="13" spans="1:12">
      <c r="A13" s="102"/>
      <c r="B13" s="103"/>
      <c r="C13" s="776"/>
      <c r="D13" s="735"/>
      <c r="E13" s="745"/>
      <c r="F13" s="813" t="str">
        <f t="shared" si="0"/>
        <v>----</v>
      </c>
      <c r="G13" s="745"/>
      <c r="H13" s="813" t="str">
        <f t="shared" si="1"/>
        <v>----</v>
      </c>
      <c r="I13" s="740"/>
      <c r="J13" s="814" t="str">
        <f t="shared" si="2"/>
        <v>----</v>
      </c>
    </row>
    <row r="14" spans="1:12">
      <c r="A14" s="102"/>
      <c r="B14" s="103"/>
      <c r="C14" s="776"/>
      <c r="D14" s="735"/>
      <c r="E14" s="745"/>
      <c r="F14" s="813" t="str">
        <f t="shared" si="0"/>
        <v>----</v>
      </c>
      <c r="G14" s="745"/>
      <c r="H14" s="813" t="str">
        <f t="shared" si="1"/>
        <v>----</v>
      </c>
      <c r="I14" s="740"/>
      <c r="J14" s="814" t="str">
        <f t="shared" si="2"/>
        <v>----</v>
      </c>
    </row>
    <row r="15" spans="1:12">
      <c r="A15" s="102"/>
      <c r="B15" s="103"/>
      <c r="C15" s="776"/>
      <c r="D15" s="735"/>
      <c r="E15" s="745"/>
      <c r="F15" s="813" t="str">
        <f t="shared" si="0"/>
        <v>----</v>
      </c>
      <c r="G15" s="745"/>
      <c r="H15" s="813" t="str">
        <f t="shared" si="1"/>
        <v>----</v>
      </c>
      <c r="I15" s="740"/>
      <c r="J15" s="814" t="str">
        <f t="shared" si="2"/>
        <v>----</v>
      </c>
    </row>
    <row r="16" spans="1:12">
      <c r="A16" s="102"/>
      <c r="B16" s="103"/>
      <c r="C16" s="776"/>
      <c r="D16" s="735"/>
      <c r="E16" s="745"/>
      <c r="F16" s="813" t="str">
        <f t="shared" si="0"/>
        <v>----</v>
      </c>
      <c r="G16" s="745"/>
      <c r="H16" s="813" t="str">
        <f t="shared" si="1"/>
        <v>----</v>
      </c>
      <c r="I16" s="740"/>
      <c r="J16" s="814" t="str">
        <f t="shared" si="2"/>
        <v>----</v>
      </c>
    </row>
    <row r="17" spans="1:10">
      <c r="A17" s="102"/>
      <c r="B17" s="103"/>
      <c r="C17" s="776"/>
      <c r="D17" s="735"/>
      <c r="E17" s="745"/>
      <c r="F17" s="813" t="str">
        <f t="shared" si="0"/>
        <v>----</v>
      </c>
      <c r="G17" s="745"/>
      <c r="H17" s="813" t="str">
        <f t="shared" si="1"/>
        <v>----</v>
      </c>
      <c r="I17" s="740"/>
      <c r="J17" s="814" t="str">
        <f t="shared" si="2"/>
        <v>----</v>
      </c>
    </row>
    <row r="18" spans="1:10">
      <c r="A18" s="102"/>
      <c r="B18" s="103"/>
      <c r="C18" s="776"/>
      <c r="D18" s="735"/>
      <c r="E18" s="745"/>
      <c r="F18" s="813" t="str">
        <f t="shared" si="0"/>
        <v>----</v>
      </c>
      <c r="G18" s="745"/>
      <c r="H18" s="813" t="str">
        <f t="shared" si="1"/>
        <v>----</v>
      </c>
      <c r="I18" s="740"/>
      <c r="J18" s="814" t="str">
        <f t="shared" si="2"/>
        <v>----</v>
      </c>
    </row>
    <row r="19" spans="1:10">
      <c r="A19" s="102"/>
      <c r="B19" s="103"/>
      <c r="C19" s="776"/>
      <c r="D19" s="735"/>
      <c r="E19" s="745"/>
      <c r="F19" s="813" t="str">
        <f t="shared" si="0"/>
        <v>----</v>
      </c>
      <c r="G19" s="745"/>
      <c r="H19" s="813" t="str">
        <f t="shared" si="1"/>
        <v>----</v>
      </c>
      <c r="I19" s="740"/>
      <c r="J19" s="814" t="str">
        <f t="shared" si="2"/>
        <v>----</v>
      </c>
    </row>
    <row r="20" spans="1:10">
      <c r="A20" s="102"/>
      <c r="B20" s="103"/>
      <c r="C20" s="776"/>
      <c r="D20" s="735"/>
      <c r="E20" s="745"/>
      <c r="F20" s="813" t="str">
        <f t="shared" si="0"/>
        <v>----</v>
      </c>
      <c r="G20" s="745"/>
      <c r="H20" s="813" t="str">
        <f t="shared" si="1"/>
        <v>----</v>
      </c>
      <c r="I20" s="740"/>
      <c r="J20" s="814" t="str">
        <f t="shared" si="2"/>
        <v>----</v>
      </c>
    </row>
    <row r="21" spans="1:10">
      <c r="A21" s="102"/>
      <c r="B21" s="103"/>
      <c r="C21" s="776"/>
      <c r="D21" s="735"/>
      <c r="E21" s="745"/>
      <c r="F21" s="813" t="str">
        <f t="shared" si="0"/>
        <v>----</v>
      </c>
      <c r="G21" s="745"/>
      <c r="H21" s="813" t="str">
        <f t="shared" si="1"/>
        <v>----</v>
      </c>
      <c r="I21" s="740"/>
      <c r="J21" s="814" t="str">
        <f t="shared" si="2"/>
        <v>----</v>
      </c>
    </row>
    <row r="22" spans="1:10">
      <c r="A22" s="102"/>
      <c r="B22" s="103"/>
      <c r="C22" s="776"/>
      <c r="D22" s="735"/>
      <c r="E22" s="745"/>
      <c r="F22" s="813" t="str">
        <f t="shared" si="0"/>
        <v>----</v>
      </c>
      <c r="G22" s="745"/>
      <c r="H22" s="813" t="str">
        <f t="shared" si="1"/>
        <v>----</v>
      </c>
      <c r="I22" s="740"/>
      <c r="J22" s="814" t="str">
        <f t="shared" si="2"/>
        <v>----</v>
      </c>
    </row>
    <row r="23" spans="1:10">
      <c r="A23" s="116"/>
      <c r="B23" s="117"/>
      <c r="C23" s="779"/>
      <c r="D23" s="795"/>
      <c r="E23" s="746"/>
      <c r="F23" s="813" t="str">
        <f t="shared" si="0"/>
        <v>----</v>
      </c>
      <c r="G23" s="746"/>
      <c r="H23" s="813" t="str">
        <f t="shared" si="1"/>
        <v>----</v>
      </c>
      <c r="I23" s="741"/>
      <c r="J23" s="814"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820"/>
      <c r="D25" s="820"/>
      <c r="E25" s="820"/>
      <c r="F25" s="821">
        <f>SUM(F4:F24)</f>
        <v>0</v>
      </c>
      <c r="G25" s="820"/>
      <c r="H25" s="821">
        <f>SUM(H4:H24)</f>
        <v>-33470.170000000042</v>
      </c>
      <c r="I25" s="820"/>
      <c r="J25" s="821">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4"/>
  </cols>
  <sheetData>
    <row r="1" spans="1:11" ht="15.75" thickBot="1">
      <c r="A1" s="958" t="s">
        <v>274</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69" thickBot="1">
      <c r="A3" s="966"/>
      <c r="B3" s="968"/>
      <c r="C3" s="968"/>
      <c r="D3" s="980"/>
      <c r="E3" s="462" t="s">
        <v>121</v>
      </c>
      <c r="F3" s="470" t="s">
        <v>113</v>
      </c>
      <c r="G3" s="462" t="s">
        <v>121</v>
      </c>
      <c r="H3" s="470" t="s">
        <v>113</v>
      </c>
      <c r="I3" s="480" t="s">
        <v>121</v>
      </c>
      <c r="J3" s="25" t="s">
        <v>113</v>
      </c>
    </row>
    <row r="4" spans="1:11">
      <c r="A4" s="70">
        <v>44733</v>
      </c>
      <c r="B4" s="259" t="s">
        <v>538</v>
      </c>
      <c r="C4" s="72">
        <v>614467</v>
      </c>
      <c r="D4" s="431">
        <f>C4</f>
        <v>614467</v>
      </c>
      <c r="E4" s="471"/>
      <c r="F4" s="472" t="str">
        <f t="shared" ref="F4:F23" si="0">IF(ISBLANK(E4),"----",E4-D4)</f>
        <v>----</v>
      </c>
      <c r="G4" s="471"/>
      <c r="H4" s="472" t="str">
        <f t="shared" ref="H4:H23" si="1">IF(OR(G4="Complete",ISBLANK(G4)),"----",G4-$D4)</f>
        <v>----</v>
      </c>
      <c r="I4" s="481"/>
      <c r="J4" s="73" t="str">
        <f t="shared" ref="J4:J23" si="2">IF(OR(I4="Complete",ISBLANK(I4)),"----",I4-$D4)</f>
        <v>----</v>
      </c>
    </row>
    <row r="5" spans="1:11">
      <c r="A5" s="88">
        <v>45398</v>
      </c>
      <c r="B5" s="260" t="s">
        <v>740</v>
      </c>
      <c r="C5" s="459">
        <v>963154.8</v>
      </c>
      <c r="D5" s="506">
        <f>C5-32000</f>
        <v>931154.8</v>
      </c>
      <c r="E5" s="473"/>
      <c r="F5" s="474" t="str">
        <f t="shared" si="0"/>
        <v>----</v>
      </c>
      <c r="G5" s="473"/>
      <c r="H5" s="474" t="str">
        <f t="shared" si="1"/>
        <v>----</v>
      </c>
      <c r="I5" s="486"/>
      <c r="J5" s="83" t="str">
        <f t="shared" si="2"/>
        <v>----</v>
      </c>
      <c r="K5" t="s">
        <v>741</v>
      </c>
    </row>
    <row r="6" spans="1:11">
      <c r="A6" s="88"/>
      <c r="B6" s="260"/>
      <c r="C6" s="82"/>
      <c r="D6" s="433"/>
      <c r="E6" s="473"/>
      <c r="F6" s="474" t="str">
        <f t="shared" si="0"/>
        <v>----</v>
      </c>
      <c r="G6" s="473"/>
      <c r="H6" s="474" t="str">
        <f t="shared" si="1"/>
        <v>----</v>
      </c>
      <c r="I6" s="486"/>
      <c r="J6" s="83" t="str">
        <f t="shared" si="2"/>
        <v>----</v>
      </c>
    </row>
    <row r="7" spans="1:11">
      <c r="A7" s="88"/>
      <c r="B7" s="260"/>
      <c r="C7" s="82"/>
      <c r="D7" s="433"/>
      <c r="E7" s="473"/>
      <c r="F7" s="474" t="str">
        <f t="shared" si="0"/>
        <v>----</v>
      </c>
      <c r="G7" s="473"/>
      <c r="H7" s="474" t="str">
        <f t="shared" si="1"/>
        <v>----</v>
      </c>
      <c r="I7" s="486"/>
      <c r="J7" s="83" t="str">
        <f t="shared" si="2"/>
        <v>----</v>
      </c>
    </row>
    <row r="8" spans="1:11">
      <c r="A8" s="88"/>
      <c r="B8" s="260"/>
      <c r="C8" s="82"/>
      <c r="D8" s="433"/>
      <c r="E8" s="473"/>
      <c r="F8" s="474" t="str">
        <f t="shared" si="0"/>
        <v>----</v>
      </c>
      <c r="G8" s="473"/>
      <c r="H8" s="474" t="str">
        <f t="shared" si="1"/>
        <v>----</v>
      </c>
      <c r="I8" s="486"/>
      <c r="J8" s="83" t="str">
        <f t="shared" si="2"/>
        <v>----</v>
      </c>
    </row>
    <row r="9" spans="1:11">
      <c r="A9" s="88"/>
      <c r="B9" s="260"/>
      <c r="C9" s="82"/>
      <c r="D9" s="433"/>
      <c r="E9" s="473"/>
      <c r="F9" s="474" t="str">
        <f t="shared" si="0"/>
        <v>----</v>
      </c>
      <c r="G9" s="473"/>
      <c r="H9" s="474" t="str">
        <f t="shared" si="1"/>
        <v>----</v>
      </c>
      <c r="I9" s="486"/>
      <c r="J9" s="83" t="str">
        <f t="shared" si="2"/>
        <v>----</v>
      </c>
    </row>
    <row r="10" spans="1:11">
      <c r="A10" s="88"/>
      <c r="B10" s="260"/>
      <c r="C10" s="82"/>
      <c r="D10" s="433"/>
      <c r="E10" s="473"/>
      <c r="F10" s="474" t="str">
        <f t="shared" si="0"/>
        <v>----</v>
      </c>
      <c r="G10" s="473"/>
      <c r="H10" s="474" t="str">
        <f t="shared" si="1"/>
        <v>----</v>
      </c>
      <c r="I10" s="486"/>
      <c r="J10" s="83" t="str">
        <f t="shared" si="2"/>
        <v>----</v>
      </c>
    </row>
    <row r="11" spans="1:11">
      <c r="A11" s="88"/>
      <c r="B11" s="260"/>
      <c r="C11" s="82"/>
      <c r="D11" s="433"/>
      <c r="E11" s="473"/>
      <c r="F11" s="474" t="str">
        <f t="shared" si="0"/>
        <v>----</v>
      </c>
      <c r="G11" s="473"/>
      <c r="H11" s="474" t="str">
        <f t="shared" si="1"/>
        <v>----</v>
      </c>
      <c r="I11" s="486"/>
      <c r="J11" s="83" t="str">
        <f t="shared" si="2"/>
        <v>----</v>
      </c>
    </row>
    <row r="12" spans="1:11">
      <c r="A12" s="88"/>
      <c r="B12" s="260"/>
      <c r="C12" s="82"/>
      <c r="D12" s="433"/>
      <c r="E12" s="473"/>
      <c r="F12" s="474" t="str">
        <f t="shared" si="0"/>
        <v>----</v>
      </c>
      <c r="G12" s="473"/>
      <c r="H12" s="474" t="str">
        <f t="shared" si="1"/>
        <v>----</v>
      </c>
      <c r="I12" s="486"/>
      <c r="J12" s="83" t="str">
        <f t="shared" si="2"/>
        <v>----</v>
      </c>
    </row>
    <row r="13" spans="1:11">
      <c r="A13" s="88"/>
      <c r="B13" s="260"/>
      <c r="C13" s="82"/>
      <c r="D13" s="433"/>
      <c r="E13" s="473"/>
      <c r="F13" s="474" t="str">
        <f t="shared" si="0"/>
        <v>----</v>
      </c>
      <c r="G13" s="473"/>
      <c r="H13" s="474" t="str">
        <f t="shared" si="1"/>
        <v>----</v>
      </c>
      <c r="I13" s="486"/>
      <c r="J13" s="83" t="str">
        <f t="shared" si="2"/>
        <v>----</v>
      </c>
    </row>
    <row r="14" spans="1:11">
      <c r="A14" s="88"/>
      <c r="B14" s="260"/>
      <c r="C14" s="82"/>
      <c r="D14" s="433"/>
      <c r="E14" s="473"/>
      <c r="F14" s="474" t="str">
        <f t="shared" si="0"/>
        <v>----</v>
      </c>
      <c r="G14" s="473"/>
      <c r="H14" s="474" t="str">
        <f t="shared" si="1"/>
        <v>----</v>
      </c>
      <c r="I14" s="486"/>
      <c r="J14" s="83" t="str">
        <f t="shared" si="2"/>
        <v>----</v>
      </c>
    </row>
    <row r="15" spans="1:11">
      <c r="A15" s="88"/>
      <c r="B15" s="260"/>
      <c r="C15" s="82"/>
      <c r="D15" s="433"/>
      <c r="E15" s="473"/>
      <c r="F15" s="474" t="str">
        <f t="shared" si="0"/>
        <v>----</v>
      </c>
      <c r="G15" s="473"/>
      <c r="H15" s="474" t="str">
        <f t="shared" si="1"/>
        <v>----</v>
      </c>
      <c r="I15" s="486"/>
      <c r="J15" s="83" t="str">
        <f t="shared" si="2"/>
        <v>----</v>
      </c>
    </row>
    <row r="16" spans="1:11">
      <c r="A16" s="88"/>
      <c r="B16" s="260"/>
      <c r="C16" s="82"/>
      <c r="D16" s="433"/>
      <c r="E16" s="473"/>
      <c r="F16" s="474" t="str">
        <f t="shared" si="0"/>
        <v>----</v>
      </c>
      <c r="G16" s="473"/>
      <c r="H16" s="474" t="str">
        <f t="shared" si="1"/>
        <v>----</v>
      </c>
      <c r="I16" s="486"/>
      <c r="J16" s="83" t="str">
        <f t="shared" si="2"/>
        <v>----</v>
      </c>
    </row>
    <row r="17" spans="1:10">
      <c r="A17" s="88"/>
      <c r="B17" s="260"/>
      <c r="C17" s="82"/>
      <c r="D17" s="433"/>
      <c r="E17" s="473"/>
      <c r="F17" s="474" t="str">
        <f t="shared" si="0"/>
        <v>----</v>
      </c>
      <c r="G17" s="473"/>
      <c r="H17" s="474" t="str">
        <f t="shared" si="1"/>
        <v>----</v>
      </c>
      <c r="I17" s="486"/>
      <c r="J17" s="83" t="str">
        <f t="shared" si="2"/>
        <v>----</v>
      </c>
    </row>
    <row r="18" spans="1:10">
      <c r="A18" s="88"/>
      <c r="B18" s="260"/>
      <c r="C18" s="82"/>
      <c r="D18" s="433"/>
      <c r="E18" s="473"/>
      <c r="F18" s="474" t="str">
        <f t="shared" si="0"/>
        <v>----</v>
      </c>
      <c r="G18" s="473"/>
      <c r="H18" s="474" t="str">
        <f t="shared" si="1"/>
        <v>----</v>
      </c>
      <c r="I18" s="486"/>
      <c r="J18" s="83" t="str">
        <f t="shared" si="2"/>
        <v>----</v>
      </c>
    </row>
    <row r="19" spans="1:10">
      <c r="A19" s="88"/>
      <c r="B19" s="260"/>
      <c r="C19" s="82"/>
      <c r="D19" s="433"/>
      <c r="E19" s="473"/>
      <c r="F19" s="474" t="str">
        <f t="shared" si="0"/>
        <v>----</v>
      </c>
      <c r="G19" s="473"/>
      <c r="H19" s="474" t="str">
        <f t="shared" si="1"/>
        <v>----</v>
      </c>
      <c r="I19" s="486"/>
      <c r="J19" s="83" t="str">
        <f t="shared" si="2"/>
        <v>----</v>
      </c>
    </row>
    <row r="20" spans="1:10">
      <c r="A20" s="88"/>
      <c r="B20" s="260"/>
      <c r="C20" s="82"/>
      <c r="D20" s="433"/>
      <c r="E20" s="473"/>
      <c r="F20" s="474" t="str">
        <f t="shared" si="0"/>
        <v>----</v>
      </c>
      <c r="G20" s="473"/>
      <c r="H20" s="474" t="str">
        <f t="shared" si="1"/>
        <v>----</v>
      </c>
      <c r="I20" s="486"/>
      <c r="J20" s="83" t="str">
        <f t="shared" si="2"/>
        <v>----</v>
      </c>
    </row>
    <row r="21" spans="1:10">
      <c r="A21" s="88"/>
      <c r="B21" s="260"/>
      <c r="C21" s="82"/>
      <c r="D21" s="433"/>
      <c r="E21" s="473"/>
      <c r="F21" s="474" t="str">
        <f t="shared" si="0"/>
        <v>----</v>
      </c>
      <c r="G21" s="473"/>
      <c r="H21" s="474" t="str">
        <f t="shared" si="1"/>
        <v>----</v>
      </c>
      <c r="I21" s="486"/>
      <c r="J21" s="83" t="str">
        <f t="shared" si="2"/>
        <v>----</v>
      </c>
    </row>
    <row r="22" spans="1:10">
      <c r="A22" s="91"/>
      <c r="B22" s="262"/>
      <c r="C22" s="84"/>
      <c r="D22" s="479"/>
      <c r="E22" s="484"/>
      <c r="F22" s="485" t="str">
        <f t="shared" si="0"/>
        <v>----</v>
      </c>
      <c r="G22" s="484"/>
      <c r="H22" s="485" t="str">
        <f t="shared" si="1"/>
        <v>----</v>
      </c>
      <c r="I22" s="482"/>
      <c r="J22" s="85" t="str">
        <f t="shared" si="2"/>
        <v>----</v>
      </c>
    </row>
    <row r="23" spans="1:10" ht="15.75" thickBot="1">
      <c r="A23" s="74"/>
      <c r="B23" s="75"/>
      <c r="C23" s="76"/>
      <c r="D23" s="432"/>
      <c r="E23" s="477"/>
      <c r="F23" s="478" t="str">
        <f t="shared" si="0"/>
        <v>----</v>
      </c>
      <c r="G23" s="477"/>
      <c r="H23" s="478" t="str">
        <f t="shared" si="1"/>
        <v>----</v>
      </c>
      <c r="I23" s="483"/>
      <c r="J23" s="77" t="str">
        <f t="shared" si="2"/>
        <v>----</v>
      </c>
    </row>
    <row r="24" spans="1:10" ht="15.75" thickBot="1">
      <c r="A24" s="27"/>
      <c r="B24" s="27"/>
      <c r="C24" s="28"/>
      <c r="D24" s="28"/>
      <c r="E24" s="441"/>
      <c r="F24" s="443">
        <f>SUM(F4:F23)</f>
        <v>0</v>
      </c>
      <c r="G24" s="441"/>
      <c r="H24" s="443">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4" bestFit="1" customWidth="1"/>
    <col min="6" max="6" width="9.8554687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0" ht="15.75" thickBot="1">
      <c r="A1" s="958" t="s">
        <v>275</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44180</v>
      </c>
      <c r="B4" s="71" t="s">
        <v>364</v>
      </c>
      <c r="C4" s="787">
        <v>736617.42</v>
      </c>
      <c r="D4" s="793">
        <f>C4</f>
        <v>736617.42</v>
      </c>
      <c r="E4" s="800">
        <v>741305.23</v>
      </c>
      <c r="F4" s="809">
        <f t="shared" ref="F4:F19" si="0">IF(ISBLANK(E4),"----",E4-D4)</f>
        <v>4687.8099999999395</v>
      </c>
      <c r="G4" s="800" t="s">
        <v>703</v>
      </c>
      <c r="H4" s="809" t="str">
        <f t="shared" ref="H4:H19" si="1">IF(OR(G4="Complete",ISBLANK(G4)),"----",G4-$D4)</f>
        <v>----</v>
      </c>
      <c r="I4" s="797" t="s">
        <v>703</v>
      </c>
      <c r="J4" s="810" t="str">
        <f t="shared" ref="J4:J19" si="2">IF(OR(I4="Complete",ISBLANK(I4)),"----",I4-$D4)</f>
        <v>----</v>
      </c>
    </row>
    <row r="5" spans="1:10">
      <c r="A5" s="88">
        <v>44271</v>
      </c>
      <c r="B5" s="101" t="s">
        <v>407</v>
      </c>
      <c r="C5" s="790">
        <v>675856.4</v>
      </c>
      <c r="D5" s="794">
        <v>484686.4</v>
      </c>
      <c r="E5" s="801"/>
      <c r="F5" s="813" t="str">
        <f t="shared" si="0"/>
        <v>----</v>
      </c>
      <c r="G5" s="811"/>
      <c r="H5" s="813" t="str">
        <f t="shared" si="1"/>
        <v>----</v>
      </c>
      <c r="I5" s="812"/>
      <c r="J5" s="814" t="str">
        <f t="shared" si="2"/>
        <v>----</v>
      </c>
    </row>
    <row r="6" spans="1:10">
      <c r="A6" s="91">
        <v>44670</v>
      </c>
      <c r="B6" s="92" t="s">
        <v>516</v>
      </c>
      <c r="C6" s="788">
        <v>398346.3</v>
      </c>
      <c r="D6" s="803">
        <f>C6</f>
        <v>398346.3</v>
      </c>
      <c r="E6" s="805"/>
      <c r="F6" s="668" t="str">
        <f t="shared" si="0"/>
        <v>----</v>
      </c>
      <c r="G6" s="805">
        <v>380928.98</v>
      </c>
      <c r="H6" s="813">
        <f t="shared" si="1"/>
        <v>-17417.320000000007</v>
      </c>
      <c r="I6" s="804" t="s">
        <v>703</v>
      </c>
      <c r="J6" s="814" t="str">
        <f t="shared" si="2"/>
        <v>----</v>
      </c>
    </row>
    <row r="7" spans="1:10">
      <c r="A7" s="88">
        <v>45006</v>
      </c>
      <c r="B7" s="371" t="s">
        <v>642</v>
      </c>
      <c r="C7" s="790">
        <v>1071339.8999999999</v>
      </c>
      <c r="D7" s="794">
        <f>C7</f>
        <v>1071339.8999999999</v>
      </c>
      <c r="E7" s="801"/>
      <c r="F7" s="813" t="str">
        <f t="shared" si="0"/>
        <v>----</v>
      </c>
      <c r="G7" s="801"/>
      <c r="H7" s="813" t="str">
        <f t="shared" si="1"/>
        <v>----</v>
      </c>
      <c r="I7" s="798">
        <v>1191713.6000000001</v>
      </c>
      <c r="J7" s="814">
        <f t="shared" si="2"/>
        <v>120373.70000000019</v>
      </c>
    </row>
    <row r="8" spans="1:10">
      <c r="A8" s="91">
        <v>45706</v>
      </c>
      <c r="B8" s="413" t="s">
        <v>846</v>
      </c>
      <c r="C8" s="788">
        <v>498494.64</v>
      </c>
      <c r="D8" s="803">
        <f>C8</f>
        <v>498494.64</v>
      </c>
      <c r="E8" s="805"/>
      <c r="F8" s="668" t="str">
        <f t="shared" si="0"/>
        <v>----</v>
      </c>
      <c r="G8" s="805"/>
      <c r="H8" s="668" t="str">
        <f t="shared" si="1"/>
        <v>----</v>
      </c>
      <c r="I8" s="804"/>
      <c r="J8" s="669" t="str">
        <f t="shared" si="2"/>
        <v>----</v>
      </c>
    </row>
    <row r="9" spans="1:10">
      <c r="A9" s="88"/>
      <c r="B9" s="101"/>
      <c r="C9" s="790"/>
      <c r="D9" s="794"/>
      <c r="E9" s="801"/>
      <c r="F9" s="813" t="str">
        <f t="shared" si="0"/>
        <v>----</v>
      </c>
      <c r="G9" s="801"/>
      <c r="H9" s="813" t="str">
        <f t="shared" si="1"/>
        <v>----</v>
      </c>
      <c r="I9" s="798"/>
      <c r="J9" s="814" t="str">
        <f t="shared" si="2"/>
        <v>----</v>
      </c>
    </row>
    <row r="10" spans="1:10">
      <c r="A10" s="91"/>
      <c r="B10" s="92"/>
      <c r="C10" s="788"/>
      <c r="D10" s="803"/>
      <c r="E10" s="805"/>
      <c r="F10" s="668" t="str">
        <f t="shared" si="0"/>
        <v>----</v>
      </c>
      <c r="G10" s="805"/>
      <c r="H10" s="668" t="str">
        <f t="shared" si="1"/>
        <v>----</v>
      </c>
      <c r="I10" s="804"/>
      <c r="J10" s="669" t="str">
        <f t="shared" si="2"/>
        <v>----</v>
      </c>
    </row>
    <row r="11" spans="1:10">
      <c r="A11" s="88"/>
      <c r="B11" s="101"/>
      <c r="C11" s="790"/>
      <c r="D11" s="794"/>
      <c r="E11" s="801"/>
      <c r="F11" s="813" t="str">
        <f t="shared" si="0"/>
        <v>----</v>
      </c>
      <c r="G11" s="801"/>
      <c r="H11" s="813" t="str">
        <f t="shared" si="1"/>
        <v>----</v>
      </c>
      <c r="I11" s="798"/>
      <c r="J11" s="814" t="str">
        <f t="shared" si="2"/>
        <v>----</v>
      </c>
    </row>
    <row r="12" spans="1:10">
      <c r="A12" s="91"/>
      <c r="B12" s="92"/>
      <c r="C12" s="788"/>
      <c r="D12" s="803"/>
      <c r="E12" s="805"/>
      <c r="F12" s="668" t="str">
        <f t="shared" si="0"/>
        <v>----</v>
      </c>
      <c r="G12" s="805"/>
      <c r="H12" s="668" t="str">
        <f t="shared" si="1"/>
        <v>----</v>
      </c>
      <c r="I12" s="804"/>
      <c r="J12" s="669" t="str">
        <f t="shared" si="2"/>
        <v>----</v>
      </c>
    </row>
    <row r="13" spans="1:10">
      <c r="A13" s="88"/>
      <c r="B13" s="101"/>
      <c r="C13" s="790"/>
      <c r="D13" s="794"/>
      <c r="E13" s="801"/>
      <c r="F13" s="813" t="str">
        <f t="shared" si="0"/>
        <v>----</v>
      </c>
      <c r="G13" s="801"/>
      <c r="H13" s="813" t="str">
        <f t="shared" si="1"/>
        <v>----</v>
      </c>
      <c r="I13" s="798"/>
      <c r="J13" s="814" t="str">
        <f t="shared" si="2"/>
        <v>----</v>
      </c>
    </row>
    <row r="14" spans="1:10">
      <c r="A14" s="91"/>
      <c r="B14" s="92"/>
      <c r="C14" s="788"/>
      <c r="D14" s="803"/>
      <c r="E14" s="805"/>
      <c r="F14" s="668" t="str">
        <f t="shared" si="0"/>
        <v>----</v>
      </c>
      <c r="G14" s="805"/>
      <c r="H14" s="668" t="str">
        <f t="shared" si="1"/>
        <v>----</v>
      </c>
      <c r="I14" s="804"/>
      <c r="J14" s="669" t="str">
        <f t="shared" si="2"/>
        <v>----</v>
      </c>
    </row>
    <row r="15" spans="1:10">
      <c r="A15" s="88"/>
      <c r="B15" s="101"/>
      <c r="C15" s="790"/>
      <c r="D15" s="794"/>
      <c r="E15" s="801"/>
      <c r="F15" s="813" t="str">
        <f t="shared" si="0"/>
        <v>----</v>
      </c>
      <c r="G15" s="801"/>
      <c r="H15" s="813" t="str">
        <f t="shared" si="1"/>
        <v>----</v>
      </c>
      <c r="I15" s="798"/>
      <c r="J15" s="814" t="str">
        <f t="shared" si="2"/>
        <v>----</v>
      </c>
    </row>
    <row r="16" spans="1:10">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ht="15.75" thickBot="1">
      <c r="A19" s="74"/>
      <c r="B19" s="75"/>
      <c r="C19" s="789"/>
      <c r="D19" s="796"/>
      <c r="E19" s="802"/>
      <c r="F19" s="807" t="str">
        <f t="shared" si="0"/>
        <v>----</v>
      </c>
      <c r="G19" s="802"/>
      <c r="H19" s="807" t="str">
        <f t="shared" si="1"/>
        <v>----</v>
      </c>
      <c r="I19" s="799"/>
      <c r="J19" s="808" t="str">
        <f t="shared" si="2"/>
        <v>----</v>
      </c>
    </row>
    <row r="20" spans="1:10" ht="15.75" thickBot="1">
      <c r="A20" s="27"/>
      <c r="B20" s="27"/>
      <c r="C20" s="820"/>
      <c r="D20" s="820"/>
      <c r="E20" s="820"/>
      <c r="F20" s="821">
        <f>SUM(F4:F19)</f>
        <v>4687.8099999999395</v>
      </c>
      <c r="G20" s="820"/>
      <c r="H20" s="821">
        <f>SUM(H4:H19)</f>
        <v>-17417.320000000007</v>
      </c>
      <c r="I20" s="820"/>
      <c r="J20" s="821">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4" bestFit="1" customWidth="1"/>
    <col min="6" max="6" width="14" style="434" customWidth="1"/>
    <col min="7" max="7" width="12" style="434" bestFit="1" customWidth="1"/>
    <col min="8" max="8" width="14" style="434" customWidth="1"/>
    <col min="9" max="9" width="12" bestFit="1" customWidth="1"/>
    <col min="10" max="10" width="14" customWidth="1"/>
  </cols>
  <sheetData>
    <row r="1" spans="1:10" ht="15.75" thickBot="1">
      <c r="A1" s="958" t="s">
        <v>138</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113</v>
      </c>
      <c r="G3" s="462" t="s">
        <v>121</v>
      </c>
      <c r="H3" s="470" t="s">
        <v>113</v>
      </c>
      <c r="I3" s="480" t="s">
        <v>121</v>
      </c>
      <c r="J3" s="25" t="s">
        <v>113</v>
      </c>
    </row>
    <row r="4" spans="1:10">
      <c r="A4" s="70">
        <v>43788</v>
      </c>
      <c r="B4" s="71" t="s">
        <v>145</v>
      </c>
      <c r="C4" s="72">
        <v>1022190.43</v>
      </c>
      <c r="D4" s="431">
        <f>C4</f>
        <v>1022190.43</v>
      </c>
      <c r="E4" s="471">
        <v>1026181.21</v>
      </c>
      <c r="F4" s="472">
        <f t="shared" ref="F4:F19" si="0">IF(ISBLANK(E4),"----",E4-D4)</f>
        <v>3990.7799999999115</v>
      </c>
      <c r="G4" s="471" t="s">
        <v>703</v>
      </c>
      <c r="H4" s="472" t="str">
        <f t="shared" ref="H4:H19" si="1">IF(OR(G4="Complete",ISBLANK(G4)),"----",G4-$D4)</f>
        <v>----</v>
      </c>
      <c r="I4" s="481" t="s">
        <v>703</v>
      </c>
      <c r="J4" s="73" t="str">
        <f t="shared" ref="J4:J19" si="2">IF(OR(I4="Complete",ISBLANK(I4)),"----",I4-$D4)</f>
        <v>----</v>
      </c>
    </row>
    <row r="5" spans="1:10">
      <c r="A5" s="88">
        <v>43852</v>
      </c>
      <c r="B5" s="101" t="s">
        <v>192</v>
      </c>
      <c r="C5" s="82">
        <v>465735</v>
      </c>
      <c r="D5" s="433">
        <v>372588</v>
      </c>
      <c r="E5" s="473"/>
      <c r="F5" s="474" t="str">
        <f t="shared" si="0"/>
        <v>----</v>
      </c>
      <c r="G5" s="473"/>
      <c r="H5" s="474" t="str">
        <f t="shared" si="1"/>
        <v>----</v>
      </c>
      <c r="I5" s="486"/>
      <c r="J5" s="83" t="str">
        <f t="shared" si="2"/>
        <v>----</v>
      </c>
    </row>
    <row r="6" spans="1:10">
      <c r="A6" s="102">
        <v>43852</v>
      </c>
      <c r="B6" s="103" t="s">
        <v>193</v>
      </c>
      <c r="C6" s="87">
        <v>498614</v>
      </c>
      <c r="D6" s="468">
        <v>280134</v>
      </c>
      <c r="E6" s="475"/>
      <c r="F6" s="487" t="str">
        <f t="shared" si="0"/>
        <v>----</v>
      </c>
      <c r="G6" s="475"/>
      <c r="H6" s="487" t="str">
        <f t="shared" si="1"/>
        <v>----</v>
      </c>
      <c r="I6" s="488"/>
      <c r="J6" s="115" t="str">
        <f t="shared" si="2"/>
        <v>----</v>
      </c>
    </row>
    <row r="7" spans="1:10">
      <c r="A7" s="102">
        <v>43852</v>
      </c>
      <c r="B7" s="103" t="s">
        <v>194</v>
      </c>
      <c r="C7" s="87">
        <v>1551788.4</v>
      </c>
      <c r="D7" s="468">
        <v>1251378.3999999999</v>
      </c>
      <c r="E7" s="475"/>
      <c r="F7" s="487" t="str">
        <f t="shared" si="0"/>
        <v>----</v>
      </c>
      <c r="G7" s="475"/>
      <c r="H7" s="487" t="str">
        <f t="shared" si="1"/>
        <v>----</v>
      </c>
      <c r="I7" s="488"/>
      <c r="J7" s="115" t="str">
        <f t="shared" si="2"/>
        <v>----</v>
      </c>
    </row>
    <row r="8" spans="1:10">
      <c r="A8" s="976">
        <v>44153</v>
      </c>
      <c r="B8" s="103" t="s">
        <v>335</v>
      </c>
      <c r="C8" s="87">
        <v>710860.5</v>
      </c>
      <c r="D8" s="468">
        <f>C8</f>
        <v>710860.5</v>
      </c>
      <c r="E8" s="475">
        <v>703673.95</v>
      </c>
      <c r="F8" s="487">
        <f t="shared" si="0"/>
        <v>-7186.5500000000466</v>
      </c>
      <c r="G8" s="475" t="s">
        <v>703</v>
      </c>
      <c r="H8" s="487" t="str">
        <f t="shared" si="1"/>
        <v>----</v>
      </c>
      <c r="I8" s="488" t="s">
        <v>703</v>
      </c>
      <c r="J8" s="115" t="str">
        <f t="shared" si="2"/>
        <v>----</v>
      </c>
    </row>
    <row r="9" spans="1:10">
      <c r="A9" s="978"/>
      <c r="B9" s="103" t="s">
        <v>336</v>
      </c>
      <c r="C9" s="87">
        <v>1052060.05</v>
      </c>
      <c r="D9" s="468">
        <f>C9</f>
        <v>1052060.05</v>
      </c>
      <c r="E9" s="475">
        <v>1046393.18</v>
      </c>
      <c r="F9" s="487">
        <f t="shared" si="0"/>
        <v>-5666.8699999999953</v>
      </c>
      <c r="G9" s="475" t="s">
        <v>703</v>
      </c>
      <c r="H9" s="487" t="str">
        <f t="shared" si="1"/>
        <v>----</v>
      </c>
      <c r="I9" s="488" t="s">
        <v>703</v>
      </c>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16"/>
      <c r="B18" s="117"/>
      <c r="C18" s="118"/>
      <c r="D18" s="469"/>
      <c r="E18" s="476"/>
      <c r="F18" s="487" t="str">
        <f t="shared" si="0"/>
        <v>----</v>
      </c>
      <c r="G18" s="476"/>
      <c r="H18" s="487" t="str">
        <f t="shared" si="1"/>
        <v>----</v>
      </c>
      <c r="I18" s="490"/>
      <c r="J18" s="115" t="str">
        <f t="shared" si="2"/>
        <v>----</v>
      </c>
    </row>
    <row r="19" spans="1:10" ht="15.75" thickBot="1">
      <c r="A19" s="74"/>
      <c r="B19" s="75"/>
      <c r="C19" s="76"/>
      <c r="D19" s="432"/>
      <c r="E19" s="477"/>
      <c r="F19" s="478" t="str">
        <f t="shared" si="0"/>
        <v>----</v>
      </c>
      <c r="G19" s="477"/>
      <c r="H19" s="478" t="str">
        <f t="shared" si="1"/>
        <v>----</v>
      </c>
      <c r="I19" s="483"/>
      <c r="J19" s="77" t="str">
        <f t="shared" si="2"/>
        <v>----</v>
      </c>
    </row>
    <row r="20" spans="1:10" ht="15.75" thickBot="1">
      <c r="A20" s="27"/>
      <c r="B20" s="27"/>
      <c r="C20" s="28"/>
      <c r="D20" s="28"/>
      <c r="E20" s="441"/>
      <c r="F20" s="443">
        <f>SUM(F4:F19)</f>
        <v>-8862.6400000001304</v>
      </c>
      <c r="G20" s="441"/>
      <c r="H20" s="443">
        <f>SUM(H4:H19)</f>
        <v>0</v>
      </c>
      <c r="I20" s="28"/>
      <c r="J20" s="69">
        <f>SUM(J4:J19)</f>
        <v>0</v>
      </c>
    </row>
    <row r="21" spans="1:10">
      <c r="A21" s="17"/>
      <c r="B21" s="17"/>
      <c r="C21" s="20"/>
      <c r="D21" s="20"/>
      <c r="E21" s="437"/>
      <c r="F21" s="437"/>
      <c r="G21" s="437"/>
      <c r="H21" s="437"/>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8" t="s">
        <v>276</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44153</v>
      </c>
      <c r="B4" s="71" t="s">
        <v>337</v>
      </c>
      <c r="C4" s="72">
        <v>741562.5</v>
      </c>
      <c r="D4" s="431">
        <v>331912.5</v>
      </c>
      <c r="E4" s="471">
        <v>324736.43</v>
      </c>
      <c r="F4" s="472">
        <f t="shared" ref="F4:F16" si="0">IF(ISBLANK(E4),"----",E4-D4)</f>
        <v>-7176.070000000007</v>
      </c>
      <c r="G4" s="471" t="s">
        <v>703</v>
      </c>
      <c r="H4" s="472" t="str">
        <f t="shared" ref="H4:H16" si="1">IF(OR(G4="Complete",ISBLANK(G4)),"----",G4-$D4)</f>
        <v>----</v>
      </c>
      <c r="I4" s="481" t="s">
        <v>703</v>
      </c>
      <c r="J4" s="73" t="str">
        <f t="shared" ref="J4:J16" si="2">IF(OR(I4="Complete",ISBLANK(I4)),"----",I4-$D4)</f>
        <v>----</v>
      </c>
    </row>
    <row r="5" spans="1:10">
      <c r="A5" s="88">
        <v>44216</v>
      </c>
      <c r="B5" s="101" t="s">
        <v>381</v>
      </c>
      <c r="C5" s="82">
        <v>403119.8</v>
      </c>
      <c r="D5" s="433">
        <f>C5</f>
        <v>403119.8</v>
      </c>
      <c r="E5" s="473">
        <v>401223.28</v>
      </c>
      <c r="F5" s="474">
        <f t="shared" si="0"/>
        <v>-1896.5199999999604</v>
      </c>
      <c r="G5" s="473" t="s">
        <v>703</v>
      </c>
      <c r="H5" s="474" t="str">
        <f t="shared" si="1"/>
        <v>----</v>
      </c>
      <c r="I5" s="486" t="s">
        <v>703</v>
      </c>
      <c r="J5" s="83" t="str">
        <f t="shared" si="2"/>
        <v>----</v>
      </c>
    </row>
    <row r="6" spans="1:10">
      <c r="A6" s="88"/>
      <c r="B6" s="101"/>
      <c r="C6" s="82"/>
      <c r="D6" s="433"/>
      <c r="E6" s="473"/>
      <c r="F6" s="474" t="str">
        <f t="shared" si="0"/>
        <v>----</v>
      </c>
      <c r="G6" s="473"/>
      <c r="H6" s="474" t="str">
        <f t="shared" si="1"/>
        <v>----</v>
      </c>
      <c r="I6" s="486"/>
      <c r="J6" s="83" t="str">
        <f t="shared" si="2"/>
        <v>----</v>
      </c>
    </row>
    <row r="7" spans="1:10">
      <c r="A7" s="88"/>
      <c r="B7" s="101"/>
      <c r="C7" s="82"/>
      <c r="D7" s="433"/>
      <c r="E7" s="473"/>
      <c r="F7" s="474" t="str">
        <f t="shared" si="0"/>
        <v>----</v>
      </c>
      <c r="G7" s="473"/>
      <c r="H7" s="474" t="str">
        <f t="shared" si="1"/>
        <v>----</v>
      </c>
      <c r="I7" s="486"/>
      <c r="J7" s="83" t="str">
        <f t="shared" si="2"/>
        <v>----</v>
      </c>
    </row>
    <row r="8" spans="1:10">
      <c r="A8" s="88"/>
      <c r="B8" s="101"/>
      <c r="C8" s="82"/>
      <c r="D8" s="433"/>
      <c r="E8" s="473"/>
      <c r="F8" s="474" t="str">
        <f t="shared" si="0"/>
        <v>----</v>
      </c>
      <c r="G8" s="473"/>
      <c r="H8" s="474" t="str">
        <f t="shared" si="1"/>
        <v>----</v>
      </c>
      <c r="I8" s="486"/>
      <c r="J8" s="83" t="str">
        <f t="shared" si="2"/>
        <v>----</v>
      </c>
    </row>
    <row r="9" spans="1:10">
      <c r="A9" s="88"/>
      <c r="B9" s="101"/>
      <c r="C9" s="82"/>
      <c r="D9" s="433"/>
      <c r="E9" s="473"/>
      <c r="F9" s="474" t="str">
        <f t="shared" si="0"/>
        <v>----</v>
      </c>
      <c r="G9" s="473"/>
      <c r="H9" s="474" t="str">
        <f t="shared" si="1"/>
        <v>----</v>
      </c>
      <c r="I9" s="486"/>
      <c r="J9" s="83" t="str">
        <f t="shared" si="2"/>
        <v>----</v>
      </c>
    </row>
    <row r="10" spans="1:10">
      <c r="A10" s="88"/>
      <c r="B10" s="101"/>
      <c r="C10" s="82"/>
      <c r="D10" s="433"/>
      <c r="E10" s="473"/>
      <c r="F10" s="474" t="str">
        <f t="shared" si="0"/>
        <v>----</v>
      </c>
      <c r="G10" s="473"/>
      <c r="H10" s="474" t="str">
        <f t="shared" si="1"/>
        <v>----</v>
      </c>
      <c r="I10" s="486"/>
      <c r="J10" s="83" t="str">
        <f t="shared" si="2"/>
        <v>----</v>
      </c>
    </row>
    <row r="11" spans="1:10">
      <c r="A11" s="88"/>
      <c r="B11" s="101"/>
      <c r="C11" s="82"/>
      <c r="D11" s="433"/>
      <c r="E11" s="473"/>
      <c r="F11" s="474" t="str">
        <f t="shared" si="0"/>
        <v>----</v>
      </c>
      <c r="G11" s="473"/>
      <c r="H11" s="474" t="str">
        <f t="shared" si="1"/>
        <v>----</v>
      </c>
      <c r="I11" s="486"/>
      <c r="J11" s="83" t="str">
        <f t="shared" si="2"/>
        <v>----</v>
      </c>
    </row>
    <row r="12" spans="1:10">
      <c r="A12" s="88"/>
      <c r="B12" s="101"/>
      <c r="C12" s="82"/>
      <c r="D12" s="433"/>
      <c r="E12" s="473"/>
      <c r="F12" s="474" t="str">
        <f t="shared" si="0"/>
        <v>----</v>
      </c>
      <c r="G12" s="473"/>
      <c r="H12" s="474" t="str">
        <f t="shared" si="1"/>
        <v>----</v>
      </c>
      <c r="I12" s="486"/>
      <c r="J12" s="83" t="str">
        <f t="shared" si="2"/>
        <v>----</v>
      </c>
    </row>
    <row r="13" spans="1:10">
      <c r="A13" s="88"/>
      <c r="B13" s="101"/>
      <c r="C13" s="82"/>
      <c r="D13" s="433"/>
      <c r="E13" s="473"/>
      <c r="F13" s="474" t="str">
        <f t="shared" si="0"/>
        <v>----</v>
      </c>
      <c r="G13" s="473"/>
      <c r="H13" s="474" t="str">
        <f t="shared" si="1"/>
        <v>----</v>
      </c>
      <c r="I13" s="486"/>
      <c r="J13" s="83" t="str">
        <f t="shared" si="2"/>
        <v>----</v>
      </c>
    </row>
    <row r="14" spans="1:10">
      <c r="A14" s="88"/>
      <c r="B14" s="101"/>
      <c r="C14" s="82"/>
      <c r="D14" s="433"/>
      <c r="E14" s="473"/>
      <c r="F14" s="474" t="str">
        <f t="shared" si="0"/>
        <v>----</v>
      </c>
      <c r="G14" s="473"/>
      <c r="H14" s="474" t="str">
        <f t="shared" si="1"/>
        <v>----</v>
      </c>
      <c r="I14" s="486"/>
      <c r="J14" s="83" t="str">
        <f t="shared" si="2"/>
        <v>----</v>
      </c>
    </row>
    <row r="15" spans="1:10">
      <c r="A15" s="91"/>
      <c r="B15" s="92"/>
      <c r="C15" s="84"/>
      <c r="D15" s="479"/>
      <c r="E15" s="484"/>
      <c r="F15" s="485" t="str">
        <f t="shared" si="0"/>
        <v>----</v>
      </c>
      <c r="G15" s="484"/>
      <c r="H15" s="485" t="str">
        <f t="shared" si="1"/>
        <v>----</v>
      </c>
      <c r="I15" s="482"/>
      <c r="J15" s="85" t="str">
        <f t="shared" si="2"/>
        <v>----</v>
      </c>
    </row>
    <row r="16" spans="1:10" ht="15.75" thickBot="1">
      <c r="A16" s="74"/>
      <c r="B16" s="75"/>
      <c r="C16" s="76"/>
      <c r="D16" s="432"/>
      <c r="E16" s="477"/>
      <c r="F16" s="478" t="str">
        <f t="shared" si="0"/>
        <v>----</v>
      </c>
      <c r="G16" s="477"/>
      <c r="H16" s="478" t="str">
        <f t="shared" si="1"/>
        <v>----</v>
      </c>
      <c r="I16" s="483"/>
      <c r="J16" s="77" t="str">
        <f t="shared" si="2"/>
        <v>----</v>
      </c>
    </row>
    <row r="17" spans="1:10" ht="15.75" thickBot="1">
      <c r="A17" s="27"/>
      <c r="B17" s="27"/>
      <c r="C17" s="28"/>
      <c r="D17" s="28"/>
      <c r="E17" s="441"/>
      <c r="F17" s="443">
        <f>SUM(F4:F16)</f>
        <v>-9072.5899999999674</v>
      </c>
      <c r="G17" s="441"/>
      <c r="H17" s="443">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4" bestFit="1" customWidth="1"/>
    <col min="6" max="6" width="12.42578125" style="434" customWidth="1"/>
    <col min="7" max="7" width="12" style="434" bestFit="1" customWidth="1"/>
    <col min="8" max="8" width="12.42578125" style="434" customWidth="1"/>
    <col min="9" max="9" width="12" bestFit="1" customWidth="1"/>
    <col min="10" max="10" width="12.42578125" customWidth="1"/>
  </cols>
  <sheetData>
    <row r="1" spans="1:11" ht="15.75" thickBot="1">
      <c r="A1" s="958" t="s">
        <v>277</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992">
        <v>44271</v>
      </c>
      <c r="B4" s="213" t="s">
        <v>408</v>
      </c>
      <c r="C4" s="214">
        <v>278358.5</v>
      </c>
      <c r="D4" s="567">
        <v>100843.5</v>
      </c>
      <c r="E4" s="573"/>
      <c r="F4" s="574" t="str">
        <f t="shared" ref="F4:F20" si="0">IF(ISBLANK(E4),"----",E4-D4)</f>
        <v>----</v>
      </c>
      <c r="G4" s="573"/>
      <c r="H4" s="574" t="str">
        <f t="shared" ref="H4:H20" si="1">IF(OR(G4="Complete",ISBLANK(G4)),"----",G4-$D4)</f>
        <v>----</v>
      </c>
      <c r="I4" s="570"/>
      <c r="J4" s="215" t="str">
        <f t="shared" ref="J4:J20" si="2">IF(OR(I4="Complete",ISBLANK(I4)),"----",I4-$D4)</f>
        <v>----</v>
      </c>
    </row>
    <row r="5" spans="1:11">
      <c r="A5" s="993"/>
      <c r="B5" s="121" t="s">
        <v>409</v>
      </c>
      <c r="C5" s="216">
        <v>859172.6</v>
      </c>
      <c r="D5" s="568">
        <v>531452.6</v>
      </c>
      <c r="E5" s="575"/>
      <c r="F5" s="576" t="str">
        <f t="shared" si="0"/>
        <v>----</v>
      </c>
      <c r="G5" s="575"/>
      <c r="H5" s="576" t="str">
        <f t="shared" si="1"/>
        <v>----</v>
      </c>
      <c r="I5" s="571"/>
      <c r="J5" s="217" t="str">
        <f t="shared" si="2"/>
        <v>----</v>
      </c>
    </row>
    <row r="6" spans="1:11">
      <c r="A6" s="120">
        <v>44488</v>
      </c>
      <c r="B6" s="121" t="s">
        <v>461</v>
      </c>
      <c r="C6" s="122">
        <v>1057045.6599999999</v>
      </c>
      <c r="D6" s="495">
        <f>C6</f>
        <v>1057045.6599999999</v>
      </c>
      <c r="E6" s="465">
        <v>1096008.19</v>
      </c>
      <c r="F6" s="577">
        <f t="shared" si="0"/>
        <v>38962.530000000028</v>
      </c>
      <c r="G6" s="465" t="s">
        <v>703</v>
      </c>
      <c r="H6" s="577" t="str">
        <f t="shared" si="1"/>
        <v>----</v>
      </c>
      <c r="I6" s="497" t="s">
        <v>703</v>
      </c>
      <c r="J6" s="199" t="str">
        <f t="shared" si="2"/>
        <v>----</v>
      </c>
    </row>
    <row r="7" spans="1:11">
      <c r="A7" s="120">
        <v>45097</v>
      </c>
      <c r="B7" s="121" t="s">
        <v>652</v>
      </c>
      <c r="C7" s="122">
        <v>511651.1</v>
      </c>
      <c r="D7" s="495">
        <f>C7</f>
        <v>511651.1</v>
      </c>
      <c r="E7" s="465"/>
      <c r="F7" s="577" t="str">
        <f t="shared" si="0"/>
        <v>----</v>
      </c>
      <c r="G7" s="465"/>
      <c r="H7" s="577" t="str">
        <f t="shared" si="1"/>
        <v>----</v>
      </c>
      <c r="I7" s="497"/>
      <c r="J7" s="199" t="str">
        <f t="shared" si="2"/>
        <v>----</v>
      </c>
    </row>
    <row r="8" spans="1:11">
      <c r="A8" s="120">
        <v>45216</v>
      </c>
      <c r="B8" s="121" t="s">
        <v>666</v>
      </c>
      <c r="C8" s="374">
        <v>2189595.19</v>
      </c>
      <c r="D8" s="495">
        <v>0</v>
      </c>
      <c r="E8" s="465"/>
      <c r="F8" s="577" t="str">
        <f t="shared" si="0"/>
        <v>----</v>
      </c>
      <c r="G8" s="465"/>
      <c r="H8" s="577" t="str">
        <f t="shared" si="1"/>
        <v>----</v>
      </c>
      <c r="I8" s="497"/>
      <c r="J8" s="199" t="str">
        <f t="shared" si="2"/>
        <v>----</v>
      </c>
      <c r="K8" t="s">
        <v>667</v>
      </c>
    </row>
    <row r="9" spans="1:11">
      <c r="A9" s="120"/>
      <c r="B9" s="121"/>
      <c r="C9" s="122"/>
      <c r="D9" s="495"/>
      <c r="E9" s="465"/>
      <c r="F9" s="577" t="str">
        <f t="shared" si="0"/>
        <v>----</v>
      </c>
      <c r="G9" s="465"/>
      <c r="H9" s="577" t="str">
        <f t="shared" si="1"/>
        <v>----</v>
      </c>
      <c r="I9" s="497"/>
      <c r="J9" s="199" t="str">
        <f t="shared" si="2"/>
        <v>----</v>
      </c>
    </row>
    <row r="10" spans="1:11">
      <c r="A10" s="120"/>
      <c r="B10" s="121"/>
      <c r="C10" s="122"/>
      <c r="D10" s="495"/>
      <c r="E10" s="465"/>
      <c r="F10" s="577" t="str">
        <f t="shared" si="0"/>
        <v>----</v>
      </c>
      <c r="G10" s="465"/>
      <c r="H10" s="577" t="str">
        <f t="shared" si="1"/>
        <v>----</v>
      </c>
      <c r="I10" s="497"/>
      <c r="J10" s="199" t="str">
        <f t="shared" si="2"/>
        <v>----</v>
      </c>
    </row>
    <row r="11" spans="1:11">
      <c r="A11" s="120"/>
      <c r="B11" s="121"/>
      <c r="C11" s="122"/>
      <c r="D11" s="495"/>
      <c r="E11" s="465"/>
      <c r="F11" s="577" t="str">
        <f t="shared" si="0"/>
        <v>----</v>
      </c>
      <c r="G11" s="465"/>
      <c r="H11" s="577" t="str">
        <f t="shared" si="1"/>
        <v>----</v>
      </c>
      <c r="I11" s="497"/>
      <c r="J11" s="199" t="str">
        <f t="shared" si="2"/>
        <v>----</v>
      </c>
    </row>
    <row r="12" spans="1:11">
      <c r="A12" s="120"/>
      <c r="B12" s="121"/>
      <c r="C12" s="122"/>
      <c r="D12" s="495"/>
      <c r="E12" s="465"/>
      <c r="F12" s="577" t="str">
        <f t="shared" si="0"/>
        <v>----</v>
      </c>
      <c r="G12" s="465"/>
      <c r="H12" s="577" t="str">
        <f t="shared" si="1"/>
        <v>----</v>
      </c>
      <c r="I12" s="497"/>
      <c r="J12" s="199" t="str">
        <f t="shared" si="2"/>
        <v>----</v>
      </c>
    </row>
    <row r="13" spans="1:11">
      <c r="A13" s="120"/>
      <c r="B13" s="121"/>
      <c r="C13" s="122"/>
      <c r="D13" s="495"/>
      <c r="E13" s="465"/>
      <c r="F13" s="577" t="str">
        <f t="shared" si="0"/>
        <v>----</v>
      </c>
      <c r="G13" s="465"/>
      <c r="H13" s="577" t="str">
        <f t="shared" si="1"/>
        <v>----</v>
      </c>
      <c r="I13" s="497"/>
      <c r="J13" s="199" t="str">
        <f t="shared" si="2"/>
        <v>----</v>
      </c>
    </row>
    <row r="14" spans="1:11">
      <c r="A14" s="120"/>
      <c r="B14" s="121"/>
      <c r="C14" s="122"/>
      <c r="D14" s="495"/>
      <c r="E14" s="465"/>
      <c r="F14" s="577" t="str">
        <f t="shared" si="0"/>
        <v>----</v>
      </c>
      <c r="G14" s="465"/>
      <c r="H14" s="577" t="str">
        <f t="shared" si="1"/>
        <v>----</v>
      </c>
      <c r="I14" s="497"/>
      <c r="J14" s="199" t="str">
        <f t="shared" si="2"/>
        <v>----</v>
      </c>
    </row>
    <row r="15" spans="1:11">
      <c r="A15" s="120"/>
      <c r="B15" s="121"/>
      <c r="C15" s="122"/>
      <c r="D15" s="495"/>
      <c r="E15" s="465"/>
      <c r="F15" s="577" t="str">
        <f t="shared" si="0"/>
        <v>----</v>
      </c>
      <c r="G15" s="465"/>
      <c r="H15" s="577" t="str">
        <f t="shared" si="1"/>
        <v>----</v>
      </c>
      <c r="I15" s="497"/>
      <c r="J15" s="199" t="str">
        <f t="shared" si="2"/>
        <v>----</v>
      </c>
    </row>
    <row r="16" spans="1:11">
      <c r="A16" s="120"/>
      <c r="B16" s="121"/>
      <c r="C16" s="122"/>
      <c r="D16" s="495"/>
      <c r="E16" s="465"/>
      <c r="F16" s="577" t="str">
        <f t="shared" si="0"/>
        <v>----</v>
      </c>
      <c r="G16" s="465"/>
      <c r="H16" s="577" t="str">
        <f t="shared" si="1"/>
        <v>----</v>
      </c>
      <c r="I16" s="497"/>
      <c r="J16" s="199" t="str">
        <f t="shared" si="2"/>
        <v>----</v>
      </c>
    </row>
    <row r="17" spans="1:10">
      <c r="A17" s="120"/>
      <c r="B17" s="121"/>
      <c r="C17" s="122"/>
      <c r="D17" s="495"/>
      <c r="E17" s="465"/>
      <c r="F17" s="577" t="str">
        <f t="shared" si="0"/>
        <v>----</v>
      </c>
      <c r="G17" s="465"/>
      <c r="H17" s="577" t="str">
        <f t="shared" si="1"/>
        <v>----</v>
      </c>
      <c r="I17" s="497"/>
      <c r="J17" s="199" t="str">
        <f t="shared" si="2"/>
        <v>----</v>
      </c>
    </row>
    <row r="18" spans="1:10">
      <c r="A18" s="120"/>
      <c r="B18" s="121"/>
      <c r="C18" s="122"/>
      <c r="D18" s="495"/>
      <c r="E18" s="465"/>
      <c r="F18" s="577" t="str">
        <f t="shared" si="0"/>
        <v>----</v>
      </c>
      <c r="G18" s="465"/>
      <c r="H18" s="577" t="str">
        <f t="shared" si="1"/>
        <v>----</v>
      </c>
      <c r="I18" s="497"/>
      <c r="J18" s="199" t="str">
        <f t="shared" si="2"/>
        <v>----</v>
      </c>
    </row>
    <row r="19" spans="1:10">
      <c r="A19" s="120"/>
      <c r="B19" s="121"/>
      <c r="C19" s="122"/>
      <c r="D19" s="495"/>
      <c r="E19" s="465"/>
      <c r="F19" s="577" t="str">
        <f t="shared" si="0"/>
        <v>----</v>
      </c>
      <c r="G19" s="465"/>
      <c r="H19" s="577" t="str">
        <f t="shared" si="1"/>
        <v>----</v>
      </c>
      <c r="I19" s="497"/>
      <c r="J19" s="199" t="str">
        <f t="shared" si="2"/>
        <v>----</v>
      </c>
    </row>
    <row r="20" spans="1:10" ht="15.75" thickBot="1">
      <c r="A20" s="200"/>
      <c r="B20" s="201"/>
      <c r="C20" s="202"/>
      <c r="D20" s="569"/>
      <c r="E20" s="578"/>
      <c r="F20" s="579" t="str">
        <f t="shared" si="0"/>
        <v>----</v>
      </c>
      <c r="G20" s="578"/>
      <c r="H20" s="579" t="str">
        <f t="shared" si="1"/>
        <v>----</v>
      </c>
      <c r="I20" s="572"/>
      <c r="J20" s="203" t="str">
        <f t="shared" si="2"/>
        <v>----</v>
      </c>
    </row>
    <row r="21" spans="1:10" ht="15.75" thickBot="1">
      <c r="A21" s="27"/>
      <c r="B21" s="27"/>
      <c r="C21" s="28"/>
      <c r="D21" s="28"/>
      <c r="E21" s="441"/>
      <c r="F21" s="443">
        <f>SUM(F4:F20)</f>
        <v>38962.530000000028</v>
      </c>
      <c r="G21" s="441"/>
      <c r="H21" s="443">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4" bestFit="1" customWidth="1"/>
    <col min="6" max="6" width="11.85546875" style="434" customWidth="1"/>
    <col min="7" max="7" width="10.7109375" style="434" bestFit="1" customWidth="1"/>
    <col min="8" max="8" width="11.85546875" style="434" customWidth="1"/>
    <col min="9" max="9" width="10.7109375" bestFit="1" customWidth="1"/>
    <col min="10" max="10" width="11.85546875" customWidth="1"/>
  </cols>
  <sheetData>
    <row r="1" spans="1:11" ht="15.75" thickBot="1">
      <c r="A1" s="958" t="s">
        <v>139</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70">
        <v>43788</v>
      </c>
      <c r="B4" s="71" t="s">
        <v>144</v>
      </c>
      <c r="C4" s="104">
        <v>266037.7</v>
      </c>
      <c r="D4" s="532">
        <f>C4</f>
        <v>266037.7</v>
      </c>
      <c r="E4" s="542"/>
      <c r="F4" s="641" t="str">
        <f t="shared" ref="F4:F23" si="0">IF(ISBLANK(E4),"----",E4-D4)</f>
        <v>----</v>
      </c>
      <c r="G4" s="542"/>
      <c r="H4" s="641" t="str">
        <f t="shared" ref="H4:H23" si="1">IF(OR(G4="Complete",ISBLANK(G4)),"----",G4-$D4)</f>
        <v>----</v>
      </c>
      <c r="I4" s="537"/>
      <c r="J4" s="642" t="str">
        <f t="shared" ref="J4:J23" si="2">IF(OR(I4="Complete",ISBLANK(I4)),"----",I4-$D4)</f>
        <v>----</v>
      </c>
    </row>
    <row r="5" spans="1:11" s="29" customFormat="1">
      <c r="A5" s="194">
        <v>44306</v>
      </c>
      <c r="B5" s="195" t="s">
        <v>425</v>
      </c>
      <c r="C5" s="643">
        <v>737619</v>
      </c>
      <c r="D5" s="644">
        <f>C5</f>
        <v>737619</v>
      </c>
      <c r="E5" s="645"/>
      <c r="F5" s="646" t="str">
        <f t="shared" si="0"/>
        <v>----</v>
      </c>
      <c r="G5" s="645"/>
      <c r="H5" s="646" t="str">
        <f t="shared" si="1"/>
        <v>----</v>
      </c>
      <c r="I5" s="647"/>
      <c r="J5" s="648" t="str">
        <f t="shared" si="2"/>
        <v>----</v>
      </c>
      <c r="K5" s="29" t="s">
        <v>415</v>
      </c>
    </row>
    <row r="6" spans="1:11">
      <c r="A6" s="102">
        <v>44425</v>
      </c>
      <c r="B6" s="103" t="s">
        <v>425</v>
      </c>
      <c r="C6" s="649">
        <v>539637.54</v>
      </c>
      <c r="D6" s="534">
        <f>C6</f>
        <v>539637.54</v>
      </c>
      <c r="E6" s="544">
        <v>559968.05000000005</v>
      </c>
      <c r="F6" s="650">
        <f t="shared" si="0"/>
        <v>20330.510000000009</v>
      </c>
      <c r="G6" s="544" t="s">
        <v>703</v>
      </c>
      <c r="H6" s="650" t="str">
        <f t="shared" si="1"/>
        <v>----</v>
      </c>
      <c r="I6" s="539" t="s">
        <v>703</v>
      </c>
      <c r="J6" s="651" t="str">
        <f t="shared" si="2"/>
        <v>----</v>
      </c>
    </row>
    <row r="7" spans="1:11">
      <c r="A7" s="102">
        <v>44516</v>
      </c>
      <c r="B7" s="103" t="s">
        <v>466</v>
      </c>
      <c r="C7" s="649">
        <v>538884.36</v>
      </c>
      <c r="D7" s="534">
        <f>C7</f>
        <v>538884.36</v>
      </c>
      <c r="E7" s="544">
        <v>540323.93000000005</v>
      </c>
      <c r="F7" s="650">
        <f t="shared" si="0"/>
        <v>1439.5700000000652</v>
      </c>
      <c r="G7" s="544" t="s">
        <v>703</v>
      </c>
      <c r="H7" s="650" t="str">
        <f t="shared" si="1"/>
        <v>----</v>
      </c>
      <c r="I7" s="539" t="s">
        <v>703</v>
      </c>
      <c r="J7" s="651" t="str">
        <f t="shared" si="2"/>
        <v>----</v>
      </c>
    </row>
    <row r="8" spans="1:11">
      <c r="A8" s="102">
        <v>45489</v>
      </c>
      <c r="B8" s="452" t="s">
        <v>765</v>
      </c>
      <c r="C8" s="649">
        <v>665057.6</v>
      </c>
      <c r="D8" s="534">
        <f>C8</f>
        <v>665057.6</v>
      </c>
      <c r="E8" s="544"/>
      <c r="F8" s="650" t="str">
        <f t="shared" si="0"/>
        <v>----</v>
      </c>
      <c r="G8" s="544"/>
      <c r="H8" s="650" t="str">
        <f t="shared" si="1"/>
        <v>----</v>
      </c>
      <c r="I8" s="539"/>
      <c r="J8" s="651" t="str">
        <f t="shared" si="2"/>
        <v>----</v>
      </c>
    </row>
    <row r="9" spans="1:11">
      <c r="A9" s="102"/>
      <c r="B9" s="103"/>
      <c r="C9" s="649"/>
      <c r="D9" s="534"/>
      <c r="E9" s="544"/>
      <c r="F9" s="650" t="str">
        <f t="shared" si="0"/>
        <v>----</v>
      </c>
      <c r="G9" s="544"/>
      <c r="H9" s="650" t="str">
        <f t="shared" si="1"/>
        <v>----</v>
      </c>
      <c r="I9" s="539"/>
      <c r="J9" s="651" t="str">
        <f t="shared" si="2"/>
        <v>----</v>
      </c>
    </row>
    <row r="10" spans="1:11">
      <c r="A10" s="102"/>
      <c r="B10" s="103"/>
      <c r="C10" s="649"/>
      <c r="D10" s="534"/>
      <c r="E10" s="544"/>
      <c r="F10" s="650" t="str">
        <f t="shared" si="0"/>
        <v>----</v>
      </c>
      <c r="G10" s="544"/>
      <c r="H10" s="650" t="str">
        <f t="shared" si="1"/>
        <v>----</v>
      </c>
      <c r="I10" s="539"/>
      <c r="J10" s="651" t="str">
        <f t="shared" si="2"/>
        <v>----</v>
      </c>
    </row>
    <row r="11" spans="1:11">
      <c r="A11" s="102"/>
      <c r="B11" s="103"/>
      <c r="C11" s="649"/>
      <c r="D11" s="534"/>
      <c r="E11" s="544"/>
      <c r="F11" s="650" t="str">
        <f t="shared" si="0"/>
        <v>----</v>
      </c>
      <c r="G11" s="544"/>
      <c r="H11" s="650" t="str">
        <f t="shared" si="1"/>
        <v>----</v>
      </c>
      <c r="I11" s="539"/>
      <c r="J11" s="651" t="str">
        <f t="shared" si="2"/>
        <v>----</v>
      </c>
    </row>
    <row r="12" spans="1:11">
      <c r="A12" s="102"/>
      <c r="B12" s="103"/>
      <c r="C12" s="649"/>
      <c r="D12" s="534"/>
      <c r="E12" s="544"/>
      <c r="F12" s="650" t="str">
        <f t="shared" si="0"/>
        <v>----</v>
      </c>
      <c r="G12" s="544"/>
      <c r="H12" s="650" t="str">
        <f t="shared" si="1"/>
        <v>----</v>
      </c>
      <c r="I12" s="539"/>
      <c r="J12" s="651" t="str">
        <f t="shared" si="2"/>
        <v>----</v>
      </c>
    </row>
    <row r="13" spans="1:11">
      <c r="A13" s="102"/>
      <c r="B13" s="103"/>
      <c r="C13" s="649"/>
      <c r="D13" s="534"/>
      <c r="E13" s="544"/>
      <c r="F13" s="650" t="str">
        <f t="shared" si="0"/>
        <v>----</v>
      </c>
      <c r="G13" s="544"/>
      <c r="H13" s="650" t="str">
        <f t="shared" si="1"/>
        <v>----</v>
      </c>
      <c r="I13" s="539"/>
      <c r="J13" s="651" t="str">
        <f t="shared" si="2"/>
        <v>----</v>
      </c>
    </row>
    <row r="14" spans="1:11">
      <c r="A14" s="102"/>
      <c r="B14" s="103"/>
      <c r="C14" s="649"/>
      <c r="D14" s="534"/>
      <c r="E14" s="544"/>
      <c r="F14" s="650" t="str">
        <f t="shared" si="0"/>
        <v>----</v>
      </c>
      <c r="G14" s="544"/>
      <c r="H14" s="650" t="str">
        <f t="shared" si="1"/>
        <v>----</v>
      </c>
      <c r="I14" s="539"/>
      <c r="J14" s="651" t="str">
        <f t="shared" si="2"/>
        <v>----</v>
      </c>
    </row>
    <row r="15" spans="1:11">
      <c r="A15" s="102"/>
      <c r="B15" s="103"/>
      <c r="C15" s="649"/>
      <c r="D15" s="534"/>
      <c r="E15" s="544"/>
      <c r="F15" s="650" t="str">
        <f t="shared" si="0"/>
        <v>----</v>
      </c>
      <c r="G15" s="544"/>
      <c r="H15" s="650" t="str">
        <f t="shared" si="1"/>
        <v>----</v>
      </c>
      <c r="I15" s="539"/>
      <c r="J15" s="651" t="str">
        <f t="shared" si="2"/>
        <v>----</v>
      </c>
    </row>
    <row r="16" spans="1:11">
      <c r="A16" s="102"/>
      <c r="B16" s="103"/>
      <c r="C16" s="649"/>
      <c r="D16" s="534"/>
      <c r="E16" s="544"/>
      <c r="F16" s="650" t="str">
        <f t="shared" si="0"/>
        <v>----</v>
      </c>
      <c r="G16" s="544"/>
      <c r="H16" s="650" t="str">
        <f t="shared" si="1"/>
        <v>----</v>
      </c>
      <c r="I16" s="539"/>
      <c r="J16" s="651" t="str">
        <f t="shared" si="2"/>
        <v>----</v>
      </c>
    </row>
    <row r="17" spans="1:10">
      <c r="A17" s="102"/>
      <c r="B17" s="103"/>
      <c r="C17" s="649"/>
      <c r="D17" s="534"/>
      <c r="E17" s="544"/>
      <c r="F17" s="650" t="str">
        <f t="shared" si="0"/>
        <v>----</v>
      </c>
      <c r="G17" s="544"/>
      <c r="H17" s="650" t="str">
        <f t="shared" si="1"/>
        <v>----</v>
      </c>
      <c r="I17" s="539"/>
      <c r="J17" s="651" t="str">
        <f t="shared" si="2"/>
        <v>----</v>
      </c>
    </row>
    <row r="18" spans="1:10">
      <c r="A18" s="102"/>
      <c r="B18" s="103"/>
      <c r="C18" s="649"/>
      <c r="D18" s="534"/>
      <c r="E18" s="544"/>
      <c r="F18" s="650" t="str">
        <f t="shared" si="0"/>
        <v>----</v>
      </c>
      <c r="G18" s="544"/>
      <c r="H18" s="650" t="str">
        <f t="shared" si="1"/>
        <v>----</v>
      </c>
      <c r="I18" s="539"/>
      <c r="J18" s="651" t="str">
        <f t="shared" si="2"/>
        <v>----</v>
      </c>
    </row>
    <row r="19" spans="1:10">
      <c r="A19" s="102"/>
      <c r="B19" s="103"/>
      <c r="C19" s="649"/>
      <c r="D19" s="534"/>
      <c r="E19" s="544"/>
      <c r="F19" s="650" t="str">
        <f t="shared" si="0"/>
        <v>----</v>
      </c>
      <c r="G19" s="544"/>
      <c r="H19" s="650" t="str">
        <f t="shared" si="1"/>
        <v>----</v>
      </c>
      <c r="I19" s="539"/>
      <c r="J19" s="651" t="str">
        <f t="shared" si="2"/>
        <v>----</v>
      </c>
    </row>
    <row r="20" spans="1:10">
      <c r="A20" s="102"/>
      <c r="B20" s="103"/>
      <c r="C20" s="649"/>
      <c r="D20" s="534"/>
      <c r="E20" s="544"/>
      <c r="F20" s="650" t="str">
        <f t="shared" si="0"/>
        <v>----</v>
      </c>
      <c r="G20" s="544"/>
      <c r="H20" s="650" t="str">
        <f t="shared" si="1"/>
        <v>----</v>
      </c>
      <c r="I20" s="539"/>
      <c r="J20" s="651" t="str">
        <f t="shared" si="2"/>
        <v>----</v>
      </c>
    </row>
    <row r="21" spans="1:10">
      <c r="A21" s="102"/>
      <c r="B21" s="103"/>
      <c r="C21" s="649"/>
      <c r="D21" s="534"/>
      <c r="E21" s="544"/>
      <c r="F21" s="650" t="str">
        <f t="shared" si="0"/>
        <v>----</v>
      </c>
      <c r="G21" s="544"/>
      <c r="H21" s="650" t="str">
        <f t="shared" si="1"/>
        <v>----</v>
      </c>
      <c r="I21" s="539"/>
      <c r="J21" s="651" t="str">
        <f t="shared" si="2"/>
        <v>----</v>
      </c>
    </row>
    <row r="22" spans="1:10">
      <c r="A22" s="116"/>
      <c r="B22" s="117"/>
      <c r="C22" s="652"/>
      <c r="D22" s="535"/>
      <c r="E22" s="545"/>
      <c r="F22" s="653" t="str">
        <f t="shared" si="0"/>
        <v>----</v>
      </c>
      <c r="G22" s="545"/>
      <c r="H22" s="653" t="str">
        <f t="shared" si="1"/>
        <v>----</v>
      </c>
      <c r="I22" s="540"/>
      <c r="J22" s="654" t="str">
        <f t="shared" si="2"/>
        <v>----</v>
      </c>
    </row>
    <row r="23" spans="1:10" ht="15.75" thickBot="1">
      <c r="A23" s="74"/>
      <c r="B23" s="75"/>
      <c r="C23" s="106"/>
      <c r="D23" s="536"/>
      <c r="E23" s="546"/>
      <c r="F23" s="639" t="str">
        <f t="shared" si="0"/>
        <v>----</v>
      </c>
      <c r="G23" s="546"/>
      <c r="H23" s="639" t="str">
        <f t="shared" si="1"/>
        <v>----</v>
      </c>
      <c r="I23" s="541"/>
      <c r="J23" s="640" t="str">
        <f t="shared" si="2"/>
        <v>----</v>
      </c>
    </row>
    <row r="24" spans="1:10" ht="15.75" thickBot="1">
      <c r="A24" s="27"/>
      <c r="B24" s="27"/>
      <c r="C24" s="28"/>
      <c r="D24" s="28"/>
      <c r="E24" s="441"/>
      <c r="F24" s="443">
        <f>SUM(F4:F23)</f>
        <v>21770.080000000075</v>
      </c>
      <c r="G24" s="441"/>
      <c r="H24" s="443">
        <f>SUM(H4:H23)</f>
        <v>0</v>
      </c>
      <c r="I24" s="28"/>
      <c r="J24" s="69">
        <f>SUM(J4:J23)</f>
        <v>0</v>
      </c>
    </row>
    <row r="25" spans="1:10">
      <c r="A25" s="17"/>
      <c r="B25" s="17"/>
      <c r="C25" s="20"/>
      <c r="D25" s="20"/>
      <c r="E25" s="437"/>
      <c r="F25" s="437"/>
      <c r="G25" s="437"/>
      <c r="H25" s="437"/>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4"/>
    <col min="6" max="6" width="11.28515625" style="434" customWidth="1"/>
    <col min="7" max="7" width="9.140625" style="434"/>
    <col min="8" max="8" width="11.28515625" style="434" customWidth="1"/>
    <col min="10" max="10" width="11.28515625" customWidth="1"/>
  </cols>
  <sheetData>
    <row r="1" spans="1:10" ht="15.75" thickBot="1">
      <c r="A1" s="958" t="s">
        <v>278</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44516</v>
      </c>
      <c r="B4" s="71" t="s">
        <v>467</v>
      </c>
      <c r="C4" s="72">
        <v>728224.64</v>
      </c>
      <c r="D4" s="431">
        <f>C4</f>
        <v>728224.64</v>
      </c>
      <c r="E4" s="471"/>
      <c r="F4" s="472" t="str">
        <f>IF(ISBLANK(E4),"----",E4-D4)</f>
        <v>----</v>
      </c>
      <c r="G4" s="471"/>
      <c r="H4" s="472" t="str">
        <f>IF(OR(G4="Complete",ISBLANK(G4)),"----",G4-$D4)</f>
        <v>----</v>
      </c>
      <c r="I4" s="481"/>
      <c r="J4" s="73" t="str">
        <f>IF(OR(I4="Complete",ISBLANK(I4)),"----",I4-$D4)</f>
        <v>----</v>
      </c>
    </row>
    <row r="5" spans="1:10">
      <c r="A5" s="88"/>
      <c r="B5" s="101"/>
      <c r="C5" s="82"/>
      <c r="D5" s="433"/>
      <c r="E5" s="473"/>
      <c r="F5" s="474" t="str">
        <f>IF(ISBLANK(E5),"----",E5-D5)</f>
        <v>----</v>
      </c>
      <c r="G5" s="473"/>
      <c r="H5" s="474" t="str">
        <f>IF(OR(G5="Complete",ISBLANK(G5)),"----",G5-$D5)</f>
        <v>----</v>
      </c>
      <c r="I5" s="486"/>
      <c r="J5" s="83" t="str">
        <f>IF(OR(I5="Complete",ISBLANK(I5)),"----",I5-$D5)</f>
        <v>----</v>
      </c>
    </row>
    <row r="6" spans="1:10">
      <c r="A6" s="91"/>
      <c r="B6" s="92"/>
      <c r="C6" s="84"/>
      <c r="D6" s="479"/>
      <c r="E6" s="484"/>
      <c r="F6" s="485" t="str">
        <f>IF(ISBLANK(E6),"----",E6-D6)</f>
        <v>----</v>
      </c>
      <c r="G6" s="484"/>
      <c r="H6" s="485" t="str">
        <f>IF(OR(G6="Complete",ISBLANK(G6)),"----",G6-$D6)</f>
        <v>----</v>
      </c>
      <c r="I6" s="482"/>
      <c r="J6" s="85" t="str">
        <f>IF(OR(I6="Complete",ISBLANK(I6)),"----",I6-$D6)</f>
        <v>----</v>
      </c>
    </row>
    <row r="7" spans="1:10" ht="15.75" thickBot="1">
      <c r="A7" s="74"/>
      <c r="B7" s="75"/>
      <c r="C7" s="76"/>
      <c r="D7" s="432"/>
      <c r="E7" s="477"/>
      <c r="F7" s="478" t="str">
        <f>IF(ISBLANK(E7),"----",E7-D7)</f>
        <v>----</v>
      </c>
      <c r="G7" s="477"/>
      <c r="H7" s="478" t="str">
        <f>IF(OR(G7="Complete",ISBLANK(G7)),"----",G7-$D7)</f>
        <v>----</v>
      </c>
      <c r="I7" s="483"/>
      <c r="J7" s="77" t="str">
        <f>IF(OR(I7="Complete",ISBLANK(I7)),"----",I7-$D7)</f>
        <v>----</v>
      </c>
    </row>
    <row r="8" spans="1:10"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E4" sqref="E4"/>
    </sheetView>
  </sheetViews>
  <sheetFormatPr defaultRowHeight="15"/>
  <cols>
    <col min="2" max="2" width="22.28515625" bestFit="1" customWidth="1"/>
    <col min="3" max="4" width="11.42578125" bestFit="1" customWidth="1"/>
    <col min="5" max="8" width="9.140625" style="434"/>
  </cols>
  <sheetData>
    <row r="1" spans="1:10" ht="15.75" thickBot="1">
      <c r="A1" s="958" t="s">
        <v>279</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69" thickBot="1">
      <c r="A3" s="966"/>
      <c r="B3" s="968"/>
      <c r="C3" s="968"/>
      <c r="D3" s="980"/>
      <c r="E3" s="462" t="s">
        <v>121</v>
      </c>
      <c r="F3" s="470" t="s">
        <v>113</v>
      </c>
      <c r="G3" s="462" t="s">
        <v>121</v>
      </c>
      <c r="H3" s="470" t="s">
        <v>113</v>
      </c>
      <c r="I3" s="480" t="s">
        <v>121</v>
      </c>
      <c r="J3" s="25" t="s">
        <v>113</v>
      </c>
    </row>
    <row r="4" spans="1:10">
      <c r="A4" s="70">
        <v>44243</v>
      </c>
      <c r="B4" s="71" t="s">
        <v>401</v>
      </c>
      <c r="C4" s="72">
        <v>472128</v>
      </c>
      <c r="D4" s="431">
        <v>280958</v>
      </c>
      <c r="E4" s="471"/>
      <c r="F4" s="472" t="str">
        <f t="shared" ref="F4:F21" si="0">IF(ISBLANK(E4),"----",E4-D4)</f>
        <v>----</v>
      </c>
      <c r="G4" s="471"/>
      <c r="H4" s="472" t="str">
        <f t="shared" ref="H4:H21" si="1">IF(OR(G4="Complete",ISBLANK(G4)),"----",G4-$D4)</f>
        <v>----</v>
      </c>
      <c r="I4" s="481"/>
      <c r="J4" s="73" t="str">
        <f t="shared" ref="J4:J21" si="2">IF(OR(I4="Complete",ISBLANK(I4)),"----",I4-$D4)</f>
        <v>----</v>
      </c>
    </row>
    <row r="5" spans="1:10">
      <c r="A5" s="88">
        <v>45188</v>
      </c>
      <c r="B5" s="101" t="s">
        <v>659</v>
      </c>
      <c r="C5" s="376">
        <v>1201924.93</v>
      </c>
      <c r="D5" s="566">
        <f>C5</f>
        <v>1201924.93</v>
      </c>
      <c r="E5" s="473"/>
      <c r="F5" s="474" t="str">
        <f t="shared" si="0"/>
        <v>----</v>
      </c>
      <c r="G5" s="473"/>
      <c r="H5" s="474" t="str">
        <f t="shared" si="1"/>
        <v>----</v>
      </c>
      <c r="I5" s="486"/>
      <c r="J5" s="83" t="str">
        <f t="shared" si="2"/>
        <v>----</v>
      </c>
    </row>
    <row r="6" spans="1:10">
      <c r="A6" s="91"/>
      <c r="B6" s="92"/>
      <c r="C6" s="84"/>
      <c r="D6" s="479"/>
      <c r="E6" s="484"/>
      <c r="F6" s="485" t="str">
        <f t="shared" si="0"/>
        <v>----</v>
      </c>
      <c r="G6" s="484"/>
      <c r="H6" s="485" t="str">
        <f t="shared" si="1"/>
        <v>----</v>
      </c>
      <c r="I6" s="482"/>
      <c r="J6" s="85" t="str">
        <f t="shared" si="2"/>
        <v>----</v>
      </c>
    </row>
    <row r="7" spans="1:10">
      <c r="A7" s="88"/>
      <c r="B7" s="101"/>
      <c r="C7" s="82"/>
      <c r="D7" s="433"/>
      <c r="E7" s="473"/>
      <c r="F7" s="474" t="str">
        <f t="shared" si="0"/>
        <v>----</v>
      </c>
      <c r="G7" s="473"/>
      <c r="H7" s="474" t="str">
        <f t="shared" si="1"/>
        <v>----</v>
      </c>
      <c r="I7" s="486"/>
      <c r="J7" s="83" t="str">
        <f t="shared" si="2"/>
        <v>----</v>
      </c>
    </row>
    <row r="8" spans="1:10">
      <c r="A8" s="91"/>
      <c r="B8" s="92"/>
      <c r="C8" s="84"/>
      <c r="D8" s="479"/>
      <c r="E8" s="484"/>
      <c r="F8" s="485" t="str">
        <f t="shared" si="0"/>
        <v>----</v>
      </c>
      <c r="G8" s="484"/>
      <c r="H8" s="485" t="str">
        <f t="shared" si="1"/>
        <v>----</v>
      </c>
      <c r="I8" s="482"/>
      <c r="J8" s="85" t="str">
        <f t="shared" si="2"/>
        <v>----</v>
      </c>
    </row>
    <row r="9" spans="1:10">
      <c r="A9" s="88"/>
      <c r="B9" s="101"/>
      <c r="C9" s="82"/>
      <c r="D9" s="433"/>
      <c r="E9" s="473"/>
      <c r="F9" s="474" t="str">
        <f t="shared" si="0"/>
        <v>----</v>
      </c>
      <c r="G9" s="473"/>
      <c r="H9" s="474" t="str">
        <f t="shared" si="1"/>
        <v>----</v>
      </c>
      <c r="I9" s="486"/>
      <c r="J9" s="83" t="str">
        <f t="shared" si="2"/>
        <v>----</v>
      </c>
    </row>
    <row r="10" spans="1:10">
      <c r="A10" s="91"/>
      <c r="B10" s="92"/>
      <c r="C10" s="84"/>
      <c r="D10" s="479"/>
      <c r="E10" s="484"/>
      <c r="F10" s="485" t="str">
        <f t="shared" si="0"/>
        <v>----</v>
      </c>
      <c r="G10" s="484"/>
      <c r="H10" s="485" t="str">
        <f t="shared" si="1"/>
        <v>----</v>
      </c>
      <c r="I10" s="482"/>
      <c r="J10" s="85" t="str">
        <f t="shared" si="2"/>
        <v>----</v>
      </c>
    </row>
    <row r="11" spans="1:10">
      <c r="A11" s="88"/>
      <c r="B11" s="101"/>
      <c r="C11" s="82"/>
      <c r="D11" s="433"/>
      <c r="E11" s="473"/>
      <c r="F11" s="474" t="str">
        <f t="shared" si="0"/>
        <v>----</v>
      </c>
      <c r="G11" s="473"/>
      <c r="H11" s="474" t="str">
        <f t="shared" si="1"/>
        <v>----</v>
      </c>
      <c r="I11" s="486"/>
      <c r="J11" s="83" t="str">
        <f t="shared" si="2"/>
        <v>----</v>
      </c>
    </row>
    <row r="12" spans="1:10">
      <c r="A12" s="91"/>
      <c r="B12" s="92"/>
      <c r="C12" s="84"/>
      <c r="D12" s="479"/>
      <c r="E12" s="484"/>
      <c r="F12" s="485" t="str">
        <f t="shared" si="0"/>
        <v>----</v>
      </c>
      <c r="G12" s="484"/>
      <c r="H12" s="485" t="str">
        <f t="shared" si="1"/>
        <v>----</v>
      </c>
      <c r="I12" s="482"/>
      <c r="J12" s="85" t="str">
        <f t="shared" si="2"/>
        <v>----</v>
      </c>
    </row>
    <row r="13" spans="1:10">
      <c r="A13" s="88"/>
      <c r="B13" s="101"/>
      <c r="C13" s="82"/>
      <c r="D13" s="433"/>
      <c r="E13" s="473"/>
      <c r="F13" s="474" t="str">
        <f t="shared" si="0"/>
        <v>----</v>
      </c>
      <c r="G13" s="473"/>
      <c r="H13" s="474" t="str">
        <f t="shared" si="1"/>
        <v>----</v>
      </c>
      <c r="I13" s="486"/>
      <c r="J13" s="83" t="str">
        <f t="shared" si="2"/>
        <v>----</v>
      </c>
    </row>
    <row r="14" spans="1:10">
      <c r="A14" s="91"/>
      <c r="B14" s="92"/>
      <c r="C14" s="84"/>
      <c r="D14" s="479"/>
      <c r="E14" s="484"/>
      <c r="F14" s="485" t="str">
        <f t="shared" si="0"/>
        <v>----</v>
      </c>
      <c r="G14" s="484"/>
      <c r="H14" s="485" t="str">
        <f t="shared" si="1"/>
        <v>----</v>
      </c>
      <c r="I14" s="482"/>
      <c r="J14" s="85" t="str">
        <f t="shared" si="2"/>
        <v>----</v>
      </c>
    </row>
    <row r="15" spans="1:10">
      <c r="A15" s="88"/>
      <c r="B15" s="101"/>
      <c r="C15" s="82"/>
      <c r="D15" s="433"/>
      <c r="E15" s="473"/>
      <c r="F15" s="474" t="str">
        <f t="shared" si="0"/>
        <v>----</v>
      </c>
      <c r="G15" s="473"/>
      <c r="H15" s="474" t="str">
        <f t="shared" si="1"/>
        <v>----</v>
      </c>
      <c r="I15" s="486"/>
      <c r="J15" s="83" t="str">
        <f t="shared" si="2"/>
        <v>----</v>
      </c>
    </row>
    <row r="16" spans="1:10">
      <c r="A16" s="91"/>
      <c r="B16" s="92"/>
      <c r="C16" s="84"/>
      <c r="D16" s="479"/>
      <c r="E16" s="484"/>
      <c r="F16" s="485" t="str">
        <f t="shared" si="0"/>
        <v>----</v>
      </c>
      <c r="G16" s="484"/>
      <c r="H16" s="485" t="str">
        <f t="shared" si="1"/>
        <v>----</v>
      </c>
      <c r="I16" s="482"/>
      <c r="J16" s="85" t="str">
        <f t="shared" si="2"/>
        <v>----</v>
      </c>
    </row>
    <row r="17" spans="1:10">
      <c r="A17" s="88"/>
      <c r="B17" s="101"/>
      <c r="C17" s="82"/>
      <c r="D17" s="433"/>
      <c r="E17" s="473"/>
      <c r="F17" s="474" t="str">
        <f t="shared" si="0"/>
        <v>----</v>
      </c>
      <c r="G17" s="473"/>
      <c r="H17" s="474" t="str">
        <f t="shared" si="1"/>
        <v>----</v>
      </c>
      <c r="I17" s="486"/>
      <c r="J17" s="83" t="str">
        <f t="shared" si="2"/>
        <v>----</v>
      </c>
    </row>
    <row r="18" spans="1:10">
      <c r="A18" s="91"/>
      <c r="B18" s="92"/>
      <c r="C18" s="84"/>
      <c r="D18" s="479"/>
      <c r="E18" s="484"/>
      <c r="F18" s="485" t="str">
        <f t="shared" si="0"/>
        <v>----</v>
      </c>
      <c r="G18" s="484"/>
      <c r="H18" s="485" t="str">
        <f t="shared" si="1"/>
        <v>----</v>
      </c>
      <c r="I18" s="482"/>
      <c r="J18" s="85" t="str">
        <f t="shared" si="2"/>
        <v>----</v>
      </c>
    </row>
    <row r="19" spans="1:10">
      <c r="A19" s="88"/>
      <c r="B19" s="101"/>
      <c r="C19" s="82"/>
      <c r="D19" s="433"/>
      <c r="E19" s="473"/>
      <c r="F19" s="474" t="str">
        <f t="shared" si="0"/>
        <v>----</v>
      </c>
      <c r="G19" s="473"/>
      <c r="H19" s="474" t="str">
        <f t="shared" si="1"/>
        <v>----</v>
      </c>
      <c r="I19" s="486"/>
      <c r="J19" s="83" t="str">
        <f t="shared" si="2"/>
        <v>----</v>
      </c>
    </row>
    <row r="20" spans="1:10">
      <c r="A20" s="91"/>
      <c r="B20" s="92"/>
      <c r="C20" s="84"/>
      <c r="D20" s="479"/>
      <c r="E20" s="484"/>
      <c r="F20" s="485" t="str">
        <f t="shared" si="0"/>
        <v>----</v>
      </c>
      <c r="G20" s="484"/>
      <c r="H20" s="485" t="str">
        <f t="shared" si="1"/>
        <v>----</v>
      </c>
      <c r="I20" s="482"/>
      <c r="J20" s="85" t="str">
        <f t="shared" si="2"/>
        <v>----</v>
      </c>
    </row>
    <row r="21" spans="1:10" ht="15.75" thickBot="1">
      <c r="A21" s="74"/>
      <c r="B21" s="75"/>
      <c r="C21" s="76"/>
      <c r="D21" s="432"/>
      <c r="E21" s="477"/>
      <c r="F21" s="478" t="str">
        <f t="shared" si="0"/>
        <v>----</v>
      </c>
      <c r="G21" s="477"/>
      <c r="H21" s="478" t="str">
        <f t="shared" si="1"/>
        <v>----</v>
      </c>
      <c r="I21" s="483"/>
      <c r="J21" s="77" t="str">
        <f t="shared" si="2"/>
        <v>----</v>
      </c>
    </row>
    <row r="22" spans="1:10" ht="15.75" thickBot="1">
      <c r="A22" s="27"/>
      <c r="B22" s="27"/>
      <c r="C22" s="28"/>
      <c r="D22" s="28"/>
      <c r="E22" s="441"/>
      <c r="F22" s="443">
        <f>SUM(F4:F21)</f>
        <v>0</v>
      </c>
      <c r="G22" s="441"/>
      <c r="H22" s="443">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L31"/>
  <sheetViews>
    <sheetView workbookViewId="0">
      <selection activeCell="J15" sqref="J15"/>
    </sheetView>
  </sheetViews>
  <sheetFormatPr defaultRowHeight="15"/>
  <cols>
    <col min="2" max="2" width="23.7109375" customWidth="1"/>
    <col min="3" max="3" width="12" bestFit="1" customWidth="1"/>
    <col min="4" max="4" width="12.28515625" customWidth="1"/>
    <col min="5" max="5" width="12" style="434" bestFit="1" customWidth="1"/>
    <col min="6" max="6" width="11.7109375" style="434" customWidth="1"/>
    <col min="7" max="7" width="12" style="434" bestFit="1" customWidth="1"/>
    <col min="8" max="8" width="11.7109375" style="434" customWidth="1"/>
    <col min="9" max="9" width="12" bestFit="1" customWidth="1"/>
    <col min="10" max="10" width="11.7109375" customWidth="1"/>
    <col min="12" max="12" width="11.140625" bestFit="1" customWidth="1"/>
  </cols>
  <sheetData>
    <row r="1" spans="1:12" ht="15.75" thickBot="1">
      <c r="A1" s="958" t="s">
        <v>133</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57.75" thickBot="1">
      <c r="A3" s="966"/>
      <c r="B3" s="968"/>
      <c r="C3" s="968"/>
      <c r="D3" s="980"/>
      <c r="E3" s="462" t="s">
        <v>121</v>
      </c>
      <c r="F3" s="470" t="s">
        <v>113</v>
      </c>
      <c r="G3" s="462" t="s">
        <v>121</v>
      </c>
      <c r="H3" s="470" t="s">
        <v>113</v>
      </c>
      <c r="I3" s="480" t="s">
        <v>121</v>
      </c>
      <c r="J3" s="25" t="s">
        <v>113</v>
      </c>
    </row>
    <row r="4" spans="1:12">
      <c r="A4" s="70">
        <v>43753</v>
      </c>
      <c r="B4" s="71" t="s">
        <v>240</v>
      </c>
      <c r="C4" s="72">
        <v>1729227</v>
      </c>
      <c r="D4" s="431">
        <f>C4</f>
        <v>1729227</v>
      </c>
      <c r="E4" s="471">
        <v>1782029.72</v>
      </c>
      <c r="F4" s="472">
        <f t="shared" ref="F4:F30" si="0">IF(ISBLANK(E4),"----",E4-D4)</f>
        <v>52802.719999999972</v>
      </c>
      <c r="G4" s="471" t="s">
        <v>703</v>
      </c>
      <c r="H4" s="472" t="str">
        <f t="shared" ref="H4:H30" si="1">IF(OR(G4="Complete",ISBLANK(G4)),"----",G4-$D4)</f>
        <v>----</v>
      </c>
      <c r="I4" s="481" t="s">
        <v>703</v>
      </c>
      <c r="J4" s="73" t="str">
        <f t="shared" ref="J4:J30" si="2">IF(OR(I4="Complete",ISBLANK(I4)),"----",I4-$D4)</f>
        <v>----</v>
      </c>
    </row>
    <row r="5" spans="1:12">
      <c r="A5" s="88">
        <v>43942</v>
      </c>
      <c r="B5" s="101" t="s">
        <v>241</v>
      </c>
      <c r="C5" s="82">
        <v>374256.25</v>
      </c>
      <c r="D5" s="433">
        <f>C5</f>
        <v>374256.25</v>
      </c>
      <c r="E5" s="473">
        <v>368238.8</v>
      </c>
      <c r="F5" s="474">
        <f t="shared" si="0"/>
        <v>-6017.4500000000116</v>
      </c>
      <c r="G5" s="473" t="s">
        <v>703</v>
      </c>
      <c r="H5" s="474" t="str">
        <f t="shared" si="1"/>
        <v>----</v>
      </c>
      <c r="I5" s="486" t="s">
        <v>703</v>
      </c>
      <c r="J5" s="83" t="str">
        <f t="shared" si="2"/>
        <v>----</v>
      </c>
    </row>
    <row r="6" spans="1:12">
      <c r="A6" s="102">
        <v>44124</v>
      </c>
      <c r="B6" s="103" t="s">
        <v>317</v>
      </c>
      <c r="C6" s="87">
        <v>728997.45</v>
      </c>
      <c r="D6" s="468">
        <v>373967.45</v>
      </c>
      <c r="E6" s="475"/>
      <c r="F6" s="474" t="str">
        <f t="shared" si="0"/>
        <v>----</v>
      </c>
      <c r="G6" s="475"/>
      <c r="H6" s="474" t="str">
        <f t="shared" si="1"/>
        <v>----</v>
      </c>
      <c r="I6" s="740">
        <f>715549.58-L6</f>
        <v>360519.57999999996</v>
      </c>
      <c r="J6" s="83">
        <f t="shared" si="2"/>
        <v>-13447.870000000054</v>
      </c>
      <c r="K6" t="s">
        <v>422</v>
      </c>
      <c r="L6" s="725">
        <v>355030</v>
      </c>
    </row>
    <row r="7" spans="1:12">
      <c r="A7" s="130">
        <v>44761</v>
      </c>
      <c r="B7" s="228" t="s">
        <v>547</v>
      </c>
      <c r="C7" s="229">
        <v>1455608.9</v>
      </c>
      <c r="D7" s="433">
        <f>C7</f>
        <v>1455608.9</v>
      </c>
      <c r="E7" s="583"/>
      <c r="F7" s="474" t="str">
        <f t="shared" si="0"/>
        <v>----</v>
      </c>
      <c r="G7" s="583"/>
      <c r="H7" s="474" t="str">
        <f t="shared" si="1"/>
        <v>----</v>
      </c>
      <c r="I7" s="582"/>
      <c r="J7" s="83" t="str">
        <f t="shared" si="2"/>
        <v>----</v>
      </c>
    </row>
    <row r="8" spans="1:12">
      <c r="A8" s="130">
        <v>44852</v>
      </c>
      <c r="B8" s="228" t="s">
        <v>578</v>
      </c>
      <c r="C8" s="229">
        <v>2857469.91</v>
      </c>
      <c r="D8" s="580">
        <v>1857469.9100000001</v>
      </c>
      <c r="E8" s="583"/>
      <c r="F8" s="474" t="str">
        <f t="shared" si="0"/>
        <v>----</v>
      </c>
      <c r="G8" s="583"/>
      <c r="H8" s="474" t="str">
        <f t="shared" si="1"/>
        <v>----</v>
      </c>
      <c r="I8" s="582"/>
      <c r="J8" s="83" t="str">
        <f t="shared" si="2"/>
        <v>----</v>
      </c>
      <c r="K8" t="s">
        <v>574</v>
      </c>
    </row>
    <row r="9" spans="1:12">
      <c r="A9" s="130">
        <v>45216</v>
      </c>
      <c r="B9" s="228" t="s">
        <v>665</v>
      </c>
      <c r="C9" s="378">
        <v>1704845.85</v>
      </c>
      <c r="D9" s="581">
        <f>C9</f>
        <v>1704845.85</v>
      </c>
      <c r="E9" s="583"/>
      <c r="F9" s="474" t="str">
        <f t="shared" si="0"/>
        <v>----</v>
      </c>
      <c r="G9" s="583"/>
      <c r="H9" s="474" t="str">
        <f t="shared" si="1"/>
        <v>----</v>
      </c>
      <c r="I9" s="582">
        <v>1801911.97</v>
      </c>
      <c r="J9" s="83">
        <f t="shared" si="2"/>
        <v>97066.119999999879</v>
      </c>
    </row>
    <row r="10" spans="1:12">
      <c r="A10" s="130"/>
      <c r="B10" s="228"/>
      <c r="C10" s="229"/>
      <c r="D10" s="580"/>
      <c r="E10" s="583"/>
      <c r="F10" s="474" t="str">
        <f t="shared" si="0"/>
        <v>----</v>
      </c>
      <c r="G10" s="583"/>
      <c r="H10" s="474" t="str">
        <f t="shared" si="1"/>
        <v>----</v>
      </c>
      <c r="I10" s="582"/>
      <c r="J10" s="83" t="str">
        <f t="shared" si="2"/>
        <v>----</v>
      </c>
    </row>
    <row r="11" spans="1:12">
      <c r="A11" s="130"/>
      <c r="B11" s="228"/>
      <c r="C11" s="229"/>
      <c r="D11" s="580"/>
      <c r="E11" s="583"/>
      <c r="F11" s="474" t="str">
        <f t="shared" si="0"/>
        <v>----</v>
      </c>
      <c r="G11" s="583"/>
      <c r="H11" s="474" t="str">
        <f t="shared" si="1"/>
        <v>----</v>
      </c>
      <c r="I11" s="582"/>
      <c r="J11" s="83" t="str">
        <f t="shared" si="2"/>
        <v>----</v>
      </c>
    </row>
    <row r="12" spans="1:12">
      <c r="A12" s="130"/>
      <c r="B12" s="228"/>
      <c r="C12" s="229"/>
      <c r="D12" s="580"/>
      <c r="E12" s="583"/>
      <c r="F12" s="474" t="str">
        <f t="shared" si="0"/>
        <v>----</v>
      </c>
      <c r="G12" s="583"/>
      <c r="H12" s="474" t="str">
        <f t="shared" si="1"/>
        <v>----</v>
      </c>
      <c r="I12" s="582"/>
      <c r="J12" s="83" t="str">
        <f t="shared" si="2"/>
        <v>----</v>
      </c>
    </row>
    <row r="13" spans="1:12">
      <c r="A13" s="130"/>
      <c r="B13" s="228"/>
      <c r="C13" s="229"/>
      <c r="D13" s="580"/>
      <c r="E13" s="583"/>
      <c r="F13" s="474" t="str">
        <f t="shared" si="0"/>
        <v>----</v>
      </c>
      <c r="G13" s="583"/>
      <c r="H13" s="474" t="str">
        <f t="shared" si="1"/>
        <v>----</v>
      </c>
      <c r="I13" s="582"/>
      <c r="J13" s="83" t="str">
        <f t="shared" si="2"/>
        <v>----</v>
      </c>
    </row>
    <row r="14" spans="1:12">
      <c r="A14" s="130"/>
      <c r="B14" s="228"/>
      <c r="C14" s="229"/>
      <c r="D14" s="580"/>
      <c r="E14" s="583"/>
      <c r="F14" s="474" t="str">
        <f t="shared" si="0"/>
        <v>----</v>
      </c>
      <c r="G14" s="583"/>
      <c r="H14" s="474" t="str">
        <f t="shared" si="1"/>
        <v>----</v>
      </c>
      <c r="I14" s="582"/>
      <c r="J14" s="83" t="str">
        <f t="shared" si="2"/>
        <v>----</v>
      </c>
    </row>
    <row r="15" spans="1:12">
      <c r="A15" s="130"/>
      <c r="B15" s="228"/>
      <c r="C15" s="229"/>
      <c r="D15" s="580"/>
      <c r="E15" s="583"/>
      <c r="F15" s="474" t="str">
        <f t="shared" si="0"/>
        <v>----</v>
      </c>
      <c r="G15" s="583"/>
      <c r="H15" s="474" t="str">
        <f t="shared" si="1"/>
        <v>----</v>
      </c>
      <c r="I15" s="582"/>
      <c r="J15" s="83" t="str">
        <f t="shared" si="2"/>
        <v>----</v>
      </c>
    </row>
    <row r="16" spans="1:12">
      <c r="A16" s="130"/>
      <c r="B16" s="228"/>
      <c r="C16" s="229"/>
      <c r="D16" s="580"/>
      <c r="E16" s="583"/>
      <c r="F16" s="474" t="str">
        <f t="shared" si="0"/>
        <v>----</v>
      </c>
      <c r="G16" s="583"/>
      <c r="H16" s="474" t="str">
        <f t="shared" si="1"/>
        <v>----</v>
      </c>
      <c r="I16" s="582"/>
      <c r="J16" s="83" t="str">
        <f t="shared" si="2"/>
        <v>----</v>
      </c>
    </row>
    <row r="17" spans="1:10">
      <c r="A17" s="130"/>
      <c r="B17" s="228"/>
      <c r="C17" s="229"/>
      <c r="D17" s="580"/>
      <c r="E17" s="583"/>
      <c r="F17" s="474" t="str">
        <f t="shared" si="0"/>
        <v>----</v>
      </c>
      <c r="G17" s="583"/>
      <c r="H17" s="474" t="str">
        <f t="shared" si="1"/>
        <v>----</v>
      </c>
      <c r="I17" s="582"/>
      <c r="J17" s="83" t="str">
        <f t="shared" si="2"/>
        <v>----</v>
      </c>
    </row>
    <row r="18" spans="1:10">
      <c r="A18" s="130"/>
      <c r="B18" s="228"/>
      <c r="C18" s="229"/>
      <c r="D18" s="580"/>
      <c r="E18" s="583"/>
      <c r="F18" s="474" t="str">
        <f t="shared" si="0"/>
        <v>----</v>
      </c>
      <c r="G18" s="583"/>
      <c r="H18" s="474" t="str">
        <f t="shared" si="1"/>
        <v>----</v>
      </c>
      <c r="I18" s="582"/>
      <c r="J18" s="83" t="str">
        <f t="shared" si="2"/>
        <v>----</v>
      </c>
    </row>
    <row r="19" spans="1:10">
      <c r="A19" s="130"/>
      <c r="B19" s="228"/>
      <c r="C19" s="229"/>
      <c r="D19" s="580"/>
      <c r="E19" s="583"/>
      <c r="F19" s="474" t="str">
        <f t="shared" si="0"/>
        <v>----</v>
      </c>
      <c r="G19" s="583"/>
      <c r="H19" s="474" t="str">
        <f t="shared" si="1"/>
        <v>----</v>
      </c>
      <c r="I19" s="582"/>
      <c r="J19" s="83" t="str">
        <f t="shared" si="2"/>
        <v>----</v>
      </c>
    </row>
    <row r="20" spans="1:10">
      <c r="A20" s="130"/>
      <c r="B20" s="228"/>
      <c r="C20" s="229"/>
      <c r="D20" s="580"/>
      <c r="E20" s="583"/>
      <c r="F20" s="474" t="str">
        <f t="shared" si="0"/>
        <v>----</v>
      </c>
      <c r="G20" s="583"/>
      <c r="H20" s="474" t="str">
        <f t="shared" si="1"/>
        <v>----</v>
      </c>
      <c r="I20" s="582"/>
      <c r="J20" s="83" t="str">
        <f t="shared" si="2"/>
        <v>----</v>
      </c>
    </row>
    <row r="21" spans="1:10">
      <c r="A21" s="130"/>
      <c r="B21" s="228"/>
      <c r="C21" s="229"/>
      <c r="D21" s="580"/>
      <c r="E21" s="583"/>
      <c r="F21" s="474" t="str">
        <f t="shared" si="0"/>
        <v>----</v>
      </c>
      <c r="G21" s="583"/>
      <c r="H21" s="474" t="str">
        <f t="shared" si="1"/>
        <v>----</v>
      </c>
      <c r="I21" s="582"/>
      <c r="J21" s="83" t="str">
        <f t="shared" si="2"/>
        <v>----</v>
      </c>
    </row>
    <row r="22" spans="1:10">
      <c r="A22" s="130"/>
      <c r="B22" s="228"/>
      <c r="C22" s="229"/>
      <c r="D22" s="580"/>
      <c r="E22" s="583"/>
      <c r="F22" s="474" t="str">
        <f t="shared" si="0"/>
        <v>----</v>
      </c>
      <c r="G22" s="583"/>
      <c r="H22" s="474" t="str">
        <f t="shared" si="1"/>
        <v>----</v>
      </c>
      <c r="I22" s="582"/>
      <c r="J22" s="83" t="str">
        <f t="shared" si="2"/>
        <v>----</v>
      </c>
    </row>
    <row r="23" spans="1:10">
      <c r="A23" s="130"/>
      <c r="B23" s="228"/>
      <c r="C23" s="229"/>
      <c r="D23" s="580"/>
      <c r="E23" s="583"/>
      <c r="F23" s="474" t="str">
        <f t="shared" si="0"/>
        <v>----</v>
      </c>
      <c r="G23" s="583"/>
      <c r="H23" s="474" t="str">
        <f t="shared" si="1"/>
        <v>----</v>
      </c>
      <c r="I23" s="582"/>
      <c r="J23" s="83" t="str">
        <f t="shared" si="2"/>
        <v>----</v>
      </c>
    </row>
    <row r="24" spans="1:10">
      <c r="A24" s="130"/>
      <c r="B24" s="228"/>
      <c r="C24" s="229"/>
      <c r="D24" s="580"/>
      <c r="E24" s="583"/>
      <c r="F24" s="474" t="str">
        <f t="shared" si="0"/>
        <v>----</v>
      </c>
      <c r="G24" s="583"/>
      <c r="H24" s="474" t="str">
        <f t="shared" si="1"/>
        <v>----</v>
      </c>
      <c r="I24" s="582"/>
      <c r="J24" s="83" t="str">
        <f t="shared" si="2"/>
        <v>----</v>
      </c>
    </row>
    <row r="25" spans="1:10">
      <c r="A25" s="130"/>
      <c r="B25" s="228"/>
      <c r="C25" s="229"/>
      <c r="D25" s="580"/>
      <c r="E25" s="583"/>
      <c r="F25" s="474" t="str">
        <f t="shared" si="0"/>
        <v>----</v>
      </c>
      <c r="G25" s="583"/>
      <c r="H25" s="474" t="str">
        <f t="shared" si="1"/>
        <v>----</v>
      </c>
      <c r="I25" s="582"/>
      <c r="J25" s="83" t="str">
        <f t="shared" si="2"/>
        <v>----</v>
      </c>
    </row>
    <row r="26" spans="1:10">
      <c r="A26" s="130"/>
      <c r="B26" s="228"/>
      <c r="C26" s="229"/>
      <c r="D26" s="580"/>
      <c r="E26" s="583"/>
      <c r="F26" s="474" t="str">
        <f t="shared" si="0"/>
        <v>----</v>
      </c>
      <c r="G26" s="583"/>
      <c r="H26" s="474" t="str">
        <f t="shared" si="1"/>
        <v>----</v>
      </c>
      <c r="I26" s="582"/>
      <c r="J26" s="83" t="str">
        <f t="shared" si="2"/>
        <v>----</v>
      </c>
    </row>
    <row r="27" spans="1:10">
      <c r="A27" s="130"/>
      <c r="B27" s="228"/>
      <c r="C27" s="229"/>
      <c r="D27" s="580"/>
      <c r="E27" s="583"/>
      <c r="F27" s="474" t="str">
        <f t="shared" si="0"/>
        <v>----</v>
      </c>
      <c r="G27" s="583"/>
      <c r="H27" s="474" t="str">
        <f t="shared" si="1"/>
        <v>----</v>
      </c>
      <c r="I27" s="582"/>
      <c r="J27" s="83" t="str">
        <f t="shared" si="2"/>
        <v>----</v>
      </c>
    </row>
    <row r="28" spans="1:10">
      <c r="A28" s="130"/>
      <c r="B28" s="228"/>
      <c r="C28" s="229"/>
      <c r="D28" s="580"/>
      <c r="E28" s="583"/>
      <c r="F28" s="474" t="str">
        <f t="shared" si="0"/>
        <v>----</v>
      </c>
      <c r="G28" s="583"/>
      <c r="H28" s="474" t="str">
        <f t="shared" si="1"/>
        <v>----</v>
      </c>
      <c r="I28" s="582"/>
      <c r="J28" s="83" t="str">
        <f t="shared" si="2"/>
        <v>----</v>
      </c>
    </row>
    <row r="29" spans="1:10">
      <c r="A29" s="116"/>
      <c r="B29" s="117"/>
      <c r="C29" s="118"/>
      <c r="D29" s="469"/>
      <c r="E29" s="476"/>
      <c r="F29" s="474" t="str">
        <f t="shared" si="0"/>
        <v>----</v>
      </c>
      <c r="G29" s="476"/>
      <c r="H29" s="474" t="str">
        <f t="shared" si="1"/>
        <v>----</v>
      </c>
      <c r="I29" s="490"/>
      <c r="J29" s="83" t="str">
        <f t="shared" si="2"/>
        <v>----</v>
      </c>
    </row>
    <row r="30" spans="1:10" ht="15.75" thickBot="1">
      <c r="A30" s="74"/>
      <c r="B30" s="75"/>
      <c r="C30" s="76"/>
      <c r="D30" s="432"/>
      <c r="E30" s="477"/>
      <c r="F30" s="478" t="str">
        <f t="shared" si="0"/>
        <v>----</v>
      </c>
      <c r="G30" s="477"/>
      <c r="H30" s="478" t="str">
        <f t="shared" si="1"/>
        <v>----</v>
      </c>
      <c r="I30" s="483"/>
      <c r="J30" s="77" t="str">
        <f t="shared" si="2"/>
        <v>----</v>
      </c>
    </row>
    <row r="31" spans="1:10" ht="15.75" thickBot="1">
      <c r="A31" s="27"/>
      <c r="B31" s="27"/>
      <c r="C31" s="28"/>
      <c r="D31" s="28"/>
      <c r="E31" s="441"/>
      <c r="F31" s="443">
        <f>SUM(F4:F30)</f>
        <v>46785.26999999996</v>
      </c>
      <c r="G31" s="441"/>
      <c r="H31" s="443">
        <f>SUM(H4:H30)</f>
        <v>0</v>
      </c>
      <c r="I31" s="28"/>
      <c r="J31" s="69">
        <f>SUM(J4:J30)</f>
        <v>83618.249999999825</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4" bestFit="1" customWidth="1"/>
    <col min="6" max="6" width="13.85546875" style="434" customWidth="1"/>
    <col min="7" max="7" width="10.7109375" style="434" bestFit="1" customWidth="1"/>
    <col min="8" max="8" width="13.85546875" style="434" customWidth="1"/>
    <col min="9" max="9" width="10.7109375" bestFit="1" customWidth="1"/>
    <col min="10" max="10" width="13.85546875" customWidth="1"/>
  </cols>
  <sheetData>
    <row r="1" spans="1:10" ht="15.75" thickBot="1">
      <c r="A1" s="958" t="s">
        <v>221</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113</v>
      </c>
      <c r="G3" s="462" t="s">
        <v>121</v>
      </c>
      <c r="H3" s="470" t="s">
        <v>113</v>
      </c>
      <c r="I3" s="480" t="s">
        <v>121</v>
      </c>
      <c r="J3" s="25" t="s">
        <v>113</v>
      </c>
    </row>
    <row r="4" spans="1:10">
      <c r="A4" s="70">
        <v>43879</v>
      </c>
      <c r="B4" s="71" t="s">
        <v>222</v>
      </c>
      <c r="C4" s="72">
        <v>569573.19999999995</v>
      </c>
      <c r="D4" s="431">
        <v>326514.2</v>
      </c>
      <c r="E4" s="471">
        <v>303613.36</v>
      </c>
      <c r="F4" s="472">
        <f t="shared" ref="F4:F20" si="0">IF(ISBLANK(E4),"----",E4-D4)</f>
        <v>-22900.840000000026</v>
      </c>
      <c r="G4" s="471" t="s">
        <v>703</v>
      </c>
      <c r="H4" s="472" t="str">
        <f t="shared" ref="H4:H20" si="1">IF(OR(G4="Complete",ISBLANK(G4)),"----",G4-$D4)</f>
        <v>----</v>
      </c>
      <c r="I4" s="481" t="s">
        <v>703</v>
      </c>
      <c r="J4" s="73" t="str">
        <f t="shared" ref="J4:J20" si="2">IF(OR(I4="Complete",ISBLANK(I4)),"----",I4-$D4)</f>
        <v>----</v>
      </c>
    </row>
    <row r="5" spans="1:10">
      <c r="A5" s="88">
        <v>44306</v>
      </c>
      <c r="B5" s="101" t="s">
        <v>426</v>
      </c>
      <c r="C5" s="82">
        <v>124421.25</v>
      </c>
      <c r="D5" s="433">
        <f>C5</f>
        <v>124421.25</v>
      </c>
      <c r="E5" s="473"/>
      <c r="F5" s="474" t="str">
        <f t="shared" si="0"/>
        <v>----</v>
      </c>
      <c r="G5" s="473"/>
      <c r="H5" s="474" t="str">
        <f t="shared" si="1"/>
        <v>----</v>
      </c>
      <c r="I5" s="486"/>
      <c r="J5" s="83" t="str">
        <f t="shared" si="2"/>
        <v>----</v>
      </c>
    </row>
    <row r="6" spans="1:10">
      <c r="A6" s="102">
        <v>44580</v>
      </c>
      <c r="B6" s="103" t="s">
        <v>493</v>
      </c>
      <c r="C6" s="87">
        <v>295952.5</v>
      </c>
      <c r="D6" s="468">
        <f>C6</f>
        <v>295952.5</v>
      </c>
      <c r="E6" s="475"/>
      <c r="F6" s="487" t="str">
        <f t="shared" si="0"/>
        <v>----</v>
      </c>
      <c r="G6" s="475"/>
      <c r="H6" s="487" t="str">
        <f t="shared" si="1"/>
        <v>----</v>
      </c>
      <c r="I6" s="488"/>
      <c r="J6" s="115" t="str">
        <f t="shared" si="2"/>
        <v>----</v>
      </c>
    </row>
    <row r="7" spans="1:10">
      <c r="A7" s="102">
        <v>45153</v>
      </c>
      <c r="B7" s="103" t="s">
        <v>657</v>
      </c>
      <c r="C7" s="372">
        <v>368905.6</v>
      </c>
      <c r="D7" s="565">
        <f>C7</f>
        <v>368905.6</v>
      </c>
      <c r="E7" s="475"/>
      <c r="F7" s="487" t="str">
        <f t="shared" si="0"/>
        <v>----</v>
      </c>
      <c r="G7" s="475"/>
      <c r="H7" s="487" t="str">
        <f t="shared" si="1"/>
        <v>----</v>
      </c>
      <c r="I7" s="488"/>
      <c r="J7" s="115" t="str">
        <f t="shared" si="2"/>
        <v>----</v>
      </c>
    </row>
    <row r="8" spans="1:10">
      <c r="A8" s="102">
        <v>45153</v>
      </c>
      <c r="B8" s="103" t="s">
        <v>658</v>
      </c>
      <c r="C8" s="372">
        <v>623072.6</v>
      </c>
      <c r="D8" s="565">
        <f>C8</f>
        <v>623072.6</v>
      </c>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-22900.840000000026</v>
      </c>
      <c r="G21" s="441"/>
      <c r="H21" s="443">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4" bestFit="1" customWidth="1"/>
    <col min="6" max="6" width="11.42578125" style="434" customWidth="1"/>
    <col min="7" max="7" width="10.7109375" style="434" bestFit="1" customWidth="1"/>
    <col min="8" max="8" width="11.42578125" style="434" customWidth="1"/>
    <col min="9" max="9" width="10.7109375" bestFit="1" customWidth="1"/>
    <col min="10" max="10" width="11.42578125" customWidth="1"/>
  </cols>
  <sheetData>
    <row r="1" spans="1:10" ht="15.75" thickBot="1">
      <c r="A1" s="958" t="s">
        <v>126</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43970</v>
      </c>
      <c r="B4" s="71" t="s">
        <v>116</v>
      </c>
      <c r="C4" s="72">
        <v>491300.55</v>
      </c>
      <c r="D4" s="431">
        <f>C4</f>
        <v>491300.55</v>
      </c>
      <c r="E4" s="471">
        <v>494435.83</v>
      </c>
      <c r="F4" s="472">
        <f t="shared" ref="F4:F18" si="0">IF(ISBLANK(E4),"----",E4-D4)</f>
        <v>3135.2800000000279</v>
      </c>
      <c r="G4" s="471" t="s">
        <v>703</v>
      </c>
      <c r="H4" s="472" t="str">
        <f t="shared" ref="H4:H18" si="1">IF(OR(G4="Complete",ISBLANK(G4)),"----",G4-$D4)</f>
        <v>----</v>
      </c>
      <c r="I4" s="481" t="s">
        <v>703</v>
      </c>
      <c r="J4" s="73" t="str">
        <f t="shared" ref="J4:J18" si="2">IF(OR(I4="Complete",ISBLANK(I4)),"----",I4-$D4)</f>
        <v>----</v>
      </c>
    </row>
    <row r="5" spans="1:10">
      <c r="A5" s="88">
        <v>44698</v>
      </c>
      <c r="B5" s="101" t="s">
        <v>519</v>
      </c>
      <c r="C5" s="118">
        <v>724856.94</v>
      </c>
      <c r="D5" s="433">
        <f>C5</f>
        <v>724856.94</v>
      </c>
      <c r="E5" s="473"/>
      <c r="F5" s="474" t="str">
        <f t="shared" si="0"/>
        <v>----</v>
      </c>
      <c r="G5" s="473">
        <v>732290.18</v>
      </c>
      <c r="H5" s="474">
        <f t="shared" si="1"/>
        <v>7433.2400000001071</v>
      </c>
      <c r="I5" s="486" t="s">
        <v>703</v>
      </c>
      <c r="J5" s="83" t="str">
        <f t="shared" si="2"/>
        <v>----</v>
      </c>
    </row>
    <row r="6" spans="1:10">
      <c r="A6" s="102">
        <v>45615</v>
      </c>
      <c r="B6" s="452" t="s">
        <v>781</v>
      </c>
      <c r="C6" s="372">
        <v>693184</v>
      </c>
      <c r="D6" s="565">
        <v>691184</v>
      </c>
      <c r="E6" s="475"/>
      <c r="F6" s="487" t="str">
        <f t="shared" si="0"/>
        <v>----</v>
      </c>
      <c r="G6" s="475"/>
      <c r="H6" s="487" t="str">
        <f t="shared" si="1"/>
        <v>----</v>
      </c>
      <c r="I6" s="488"/>
      <c r="J6" s="115" t="str">
        <f t="shared" si="2"/>
        <v>----</v>
      </c>
    </row>
    <row r="7" spans="1:10">
      <c r="A7" s="102"/>
      <c r="B7" s="103"/>
      <c r="C7" s="372"/>
      <c r="D7" s="565"/>
      <c r="E7" s="475"/>
      <c r="F7" s="487" t="str">
        <f t="shared" si="0"/>
        <v>----</v>
      </c>
      <c r="G7" s="475"/>
      <c r="H7" s="487" t="str">
        <f t="shared" si="1"/>
        <v>----</v>
      </c>
      <c r="I7" s="488"/>
      <c r="J7" s="115" t="str">
        <f t="shared" si="2"/>
        <v>----</v>
      </c>
    </row>
    <row r="8" spans="1:10">
      <c r="A8" s="102"/>
      <c r="B8" s="103"/>
      <c r="C8" s="372"/>
      <c r="D8" s="565"/>
      <c r="E8" s="475"/>
      <c r="F8" s="487" t="str">
        <f t="shared" si="0"/>
        <v>----</v>
      </c>
      <c r="G8" s="475"/>
      <c r="H8" s="487" t="str">
        <f t="shared" si="1"/>
        <v>----</v>
      </c>
      <c r="I8" s="488"/>
      <c r="J8" s="115" t="str">
        <f t="shared" si="2"/>
        <v>----</v>
      </c>
    </row>
    <row r="9" spans="1:10">
      <c r="A9" s="102"/>
      <c r="B9" s="103"/>
      <c r="C9" s="372"/>
      <c r="D9" s="565"/>
      <c r="E9" s="475"/>
      <c r="F9" s="487" t="str">
        <f t="shared" si="0"/>
        <v>----</v>
      </c>
      <c r="G9" s="475"/>
      <c r="H9" s="487" t="str">
        <f t="shared" si="1"/>
        <v>----</v>
      </c>
      <c r="I9" s="488"/>
      <c r="J9" s="115" t="str">
        <f t="shared" si="2"/>
        <v>----</v>
      </c>
    </row>
    <row r="10" spans="1:10">
      <c r="A10" s="102"/>
      <c r="B10" s="103"/>
      <c r="C10" s="372"/>
      <c r="D10" s="565"/>
      <c r="E10" s="475"/>
      <c r="F10" s="487" t="str">
        <f t="shared" si="0"/>
        <v>----</v>
      </c>
      <c r="G10" s="475"/>
      <c r="H10" s="487" t="str">
        <f t="shared" si="1"/>
        <v>----</v>
      </c>
      <c r="I10" s="488"/>
      <c r="J10" s="115" t="str">
        <f t="shared" si="2"/>
        <v>----</v>
      </c>
    </row>
    <row r="11" spans="1:10">
      <c r="A11" s="102"/>
      <c r="B11" s="103"/>
      <c r="C11" s="372"/>
      <c r="D11" s="565"/>
      <c r="E11" s="475"/>
      <c r="F11" s="487" t="str">
        <f t="shared" si="0"/>
        <v>----</v>
      </c>
      <c r="G11" s="475"/>
      <c r="H11" s="487" t="str">
        <f t="shared" si="1"/>
        <v>----</v>
      </c>
      <c r="I11" s="488"/>
      <c r="J11" s="115" t="str">
        <f t="shared" si="2"/>
        <v>----</v>
      </c>
    </row>
    <row r="12" spans="1:10">
      <c r="A12" s="102"/>
      <c r="B12" s="103"/>
      <c r="C12" s="372"/>
      <c r="D12" s="565"/>
      <c r="E12" s="475"/>
      <c r="F12" s="487" t="str">
        <f t="shared" si="0"/>
        <v>----</v>
      </c>
      <c r="G12" s="475"/>
      <c r="H12" s="487" t="str">
        <f t="shared" si="1"/>
        <v>----</v>
      </c>
      <c r="I12" s="488"/>
      <c r="J12" s="115" t="str">
        <f t="shared" si="2"/>
        <v>----</v>
      </c>
    </row>
    <row r="13" spans="1:10">
      <c r="A13" s="102"/>
      <c r="B13" s="103"/>
      <c r="C13" s="372"/>
      <c r="D13" s="565"/>
      <c r="E13" s="475"/>
      <c r="F13" s="487" t="str">
        <f t="shared" si="0"/>
        <v>----</v>
      </c>
      <c r="G13" s="475"/>
      <c r="H13" s="487" t="str">
        <f t="shared" si="1"/>
        <v>----</v>
      </c>
      <c r="I13" s="488"/>
      <c r="J13" s="115" t="str">
        <f t="shared" si="2"/>
        <v>----</v>
      </c>
    </row>
    <row r="14" spans="1:10">
      <c r="A14" s="102"/>
      <c r="B14" s="103"/>
      <c r="C14" s="372"/>
      <c r="D14" s="565"/>
      <c r="E14" s="475"/>
      <c r="F14" s="487" t="str">
        <f t="shared" si="0"/>
        <v>----</v>
      </c>
      <c r="G14" s="475"/>
      <c r="H14" s="487" t="str">
        <f t="shared" si="1"/>
        <v>----</v>
      </c>
      <c r="I14" s="488"/>
      <c r="J14" s="115" t="str">
        <f t="shared" si="2"/>
        <v>----</v>
      </c>
    </row>
    <row r="15" spans="1:10">
      <c r="A15" s="102"/>
      <c r="B15" s="103"/>
      <c r="C15" s="372"/>
      <c r="D15" s="565"/>
      <c r="E15" s="475"/>
      <c r="F15" s="487" t="str">
        <f t="shared" si="0"/>
        <v>----</v>
      </c>
      <c r="G15" s="475"/>
      <c r="H15" s="487" t="str">
        <f t="shared" si="1"/>
        <v>----</v>
      </c>
      <c r="I15" s="488"/>
      <c r="J15" s="115" t="str">
        <f t="shared" si="2"/>
        <v>----</v>
      </c>
    </row>
    <row r="16" spans="1:10">
      <c r="A16" s="102"/>
      <c r="B16" s="103"/>
      <c r="C16" s="372"/>
      <c r="D16" s="565"/>
      <c r="E16" s="475"/>
      <c r="F16" s="487" t="str">
        <f t="shared" si="0"/>
        <v>----</v>
      </c>
      <c r="G16" s="475"/>
      <c r="H16" s="487" t="str">
        <f t="shared" si="1"/>
        <v>----</v>
      </c>
      <c r="I16" s="488"/>
      <c r="J16" s="115" t="str">
        <f t="shared" si="2"/>
        <v>----</v>
      </c>
    </row>
    <row r="17" spans="1:10">
      <c r="A17" s="116"/>
      <c r="B17" s="117"/>
      <c r="C17" s="608"/>
      <c r="D17" s="609"/>
      <c r="E17" s="476"/>
      <c r="F17" s="489" t="str">
        <f t="shared" si="0"/>
        <v>----</v>
      </c>
      <c r="G17" s="476"/>
      <c r="H17" s="489" t="str">
        <f t="shared" si="1"/>
        <v>----</v>
      </c>
      <c r="I17" s="490"/>
      <c r="J17" s="119" t="str">
        <f t="shared" si="2"/>
        <v>----</v>
      </c>
    </row>
    <row r="18" spans="1:10" ht="15.75" thickBot="1">
      <c r="A18" s="74"/>
      <c r="B18" s="75"/>
      <c r="C18" s="375"/>
      <c r="D18" s="529"/>
      <c r="E18" s="477"/>
      <c r="F18" s="478" t="str">
        <f t="shared" si="0"/>
        <v>----</v>
      </c>
      <c r="G18" s="477"/>
      <c r="H18" s="478" t="str">
        <f t="shared" si="1"/>
        <v>----</v>
      </c>
      <c r="I18" s="483"/>
      <c r="J18" s="77" t="str">
        <f t="shared" si="2"/>
        <v>----</v>
      </c>
    </row>
    <row r="19" spans="1:10" ht="15.75" thickBot="1">
      <c r="A19" s="27"/>
      <c r="B19" s="27"/>
      <c r="C19" s="28"/>
      <c r="D19" s="28"/>
      <c r="E19" s="441"/>
      <c r="F19" s="443">
        <f>SUM(F4:F18)</f>
        <v>3135.2800000000279</v>
      </c>
      <c r="G19" s="441"/>
      <c r="H19" s="443">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K9" sqref="K9"/>
    </sheetView>
  </sheetViews>
  <sheetFormatPr defaultRowHeight="15"/>
  <cols>
    <col min="2" max="2" width="22" bestFit="1" customWidth="1"/>
    <col min="3" max="3" width="12.5703125" bestFit="1" customWidth="1"/>
    <col min="4" max="4" width="10.7109375" bestFit="1" customWidth="1"/>
    <col min="5" max="8" width="9.140625" style="434"/>
  </cols>
  <sheetData>
    <row r="1" spans="1:11" ht="15.75" thickBot="1">
      <c r="A1" s="958" t="s">
        <v>280</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69" thickBot="1">
      <c r="A3" s="966"/>
      <c r="B3" s="968"/>
      <c r="C3" s="968"/>
      <c r="D3" s="980"/>
      <c r="E3" s="462" t="s">
        <v>121</v>
      </c>
      <c r="F3" s="470" t="s">
        <v>113</v>
      </c>
      <c r="G3" s="462" t="s">
        <v>121</v>
      </c>
      <c r="H3" s="470" t="s">
        <v>113</v>
      </c>
      <c r="I3" s="480" t="s">
        <v>121</v>
      </c>
      <c r="J3" s="25" t="s">
        <v>113</v>
      </c>
    </row>
    <row r="4" spans="1:11">
      <c r="A4" s="70">
        <v>44580</v>
      </c>
      <c r="B4" s="71" t="s">
        <v>494</v>
      </c>
      <c r="C4" s="787">
        <v>700131.29</v>
      </c>
      <c r="D4" s="793">
        <f>C4</f>
        <v>700131.29</v>
      </c>
      <c r="E4" s="800"/>
      <c r="F4" s="809" t="str">
        <f t="shared" ref="F4:F24" si="0">IF(ISBLANK(E4),"----",E4-D4)</f>
        <v>----</v>
      </c>
      <c r="G4" s="800"/>
      <c r="H4" s="809" t="str">
        <f t="shared" ref="H4:H24" si="1">IF(OR(G4="Complete",ISBLANK(G4)),"----",G4-$D4)</f>
        <v>----</v>
      </c>
      <c r="I4" s="797"/>
      <c r="J4" s="810" t="str">
        <f t="shared" ref="J4:J24" si="2">IF(OR(I4="Complete",ISBLANK(I4)),"----",I4-$D4)</f>
        <v>----</v>
      </c>
    </row>
    <row r="5" spans="1:11">
      <c r="A5" s="412">
        <v>45251</v>
      </c>
      <c r="B5" s="413" t="s">
        <v>683</v>
      </c>
      <c r="C5" s="788">
        <f>816588.74/2</f>
        <v>408294.37</v>
      </c>
      <c r="D5" s="803">
        <f>(C5*2-41530)/2</f>
        <v>387529.37</v>
      </c>
      <c r="E5" s="805"/>
      <c r="F5" s="668" t="str">
        <f t="shared" si="0"/>
        <v>----</v>
      </c>
      <c r="G5" s="805"/>
      <c r="H5" s="668" t="str">
        <f t="shared" si="1"/>
        <v>----</v>
      </c>
      <c r="I5" s="804"/>
      <c r="J5" s="669" t="str">
        <f t="shared" si="2"/>
        <v>----</v>
      </c>
      <c r="K5" s="414" t="s">
        <v>684</v>
      </c>
    </row>
    <row r="6" spans="1:11">
      <c r="A6" s="88">
        <v>45461</v>
      </c>
      <c r="B6" s="450" t="s">
        <v>756</v>
      </c>
      <c r="C6" s="790">
        <v>330823.25</v>
      </c>
      <c r="D6" s="794">
        <f>C6</f>
        <v>330823.25</v>
      </c>
      <c r="E6" s="801"/>
      <c r="F6" s="813" t="str">
        <f t="shared" si="0"/>
        <v>----</v>
      </c>
      <c r="G6" s="801"/>
      <c r="H6" s="813" t="str">
        <f t="shared" si="1"/>
        <v>----</v>
      </c>
      <c r="I6" s="798"/>
      <c r="J6" s="814" t="str">
        <f t="shared" si="2"/>
        <v>----</v>
      </c>
    </row>
    <row r="7" spans="1:11">
      <c r="A7" s="91">
        <v>45461</v>
      </c>
      <c r="B7" s="413" t="s">
        <v>757</v>
      </c>
      <c r="C7" s="788">
        <v>266587.44</v>
      </c>
      <c r="D7" s="803">
        <f>C7</f>
        <v>266587.44</v>
      </c>
      <c r="E7" s="805"/>
      <c r="F7" s="668" t="str">
        <f t="shared" si="0"/>
        <v>----</v>
      </c>
      <c r="G7" s="805"/>
      <c r="H7" s="668" t="str">
        <f t="shared" si="1"/>
        <v>----</v>
      </c>
      <c r="I7" s="804"/>
      <c r="J7" s="669" t="str">
        <f t="shared" si="2"/>
        <v>----</v>
      </c>
    </row>
    <row r="8" spans="1:11">
      <c r="A8" s="88">
        <v>45825</v>
      </c>
      <c r="B8" s="703" t="s">
        <v>881</v>
      </c>
      <c r="C8" s="790">
        <v>1243094.25</v>
      </c>
      <c r="D8" s="794">
        <v>0</v>
      </c>
      <c r="E8" s="801"/>
      <c r="F8" s="813" t="str">
        <f t="shared" si="0"/>
        <v>----</v>
      </c>
      <c r="G8" s="801"/>
      <c r="H8" s="813" t="str">
        <f t="shared" si="1"/>
        <v>----</v>
      </c>
      <c r="I8" s="798"/>
      <c r="J8" s="814" t="str">
        <f t="shared" si="2"/>
        <v>----</v>
      </c>
      <c r="K8" t="s">
        <v>882</v>
      </c>
    </row>
    <row r="9" spans="1:11">
      <c r="A9" s="91"/>
      <c r="B9" s="92"/>
      <c r="C9" s="788"/>
      <c r="D9" s="803"/>
      <c r="E9" s="805"/>
      <c r="F9" s="668" t="str">
        <f t="shared" si="0"/>
        <v>----</v>
      </c>
      <c r="G9" s="805"/>
      <c r="H9" s="668" t="str">
        <f t="shared" si="1"/>
        <v>----</v>
      </c>
      <c r="I9" s="804"/>
      <c r="J9" s="669" t="str">
        <f t="shared" si="2"/>
        <v>----</v>
      </c>
    </row>
    <row r="10" spans="1:11">
      <c r="A10" s="88"/>
      <c r="B10" s="101"/>
      <c r="C10" s="790"/>
      <c r="D10" s="794"/>
      <c r="E10" s="801"/>
      <c r="F10" s="813" t="str">
        <f t="shared" si="0"/>
        <v>----</v>
      </c>
      <c r="G10" s="801"/>
      <c r="H10" s="813" t="str">
        <f t="shared" si="1"/>
        <v>----</v>
      </c>
      <c r="I10" s="798"/>
      <c r="J10" s="814" t="str">
        <f t="shared" si="2"/>
        <v>----</v>
      </c>
    </row>
    <row r="11" spans="1:11">
      <c r="A11" s="91"/>
      <c r="B11" s="92"/>
      <c r="C11" s="788"/>
      <c r="D11" s="803"/>
      <c r="E11" s="805"/>
      <c r="F11" s="668" t="str">
        <f t="shared" si="0"/>
        <v>----</v>
      </c>
      <c r="G11" s="805"/>
      <c r="H11" s="668" t="str">
        <f t="shared" si="1"/>
        <v>----</v>
      </c>
      <c r="I11" s="804"/>
      <c r="J11" s="669" t="str">
        <f t="shared" si="2"/>
        <v>----</v>
      </c>
    </row>
    <row r="12" spans="1:11">
      <c r="A12" s="88"/>
      <c r="B12" s="101"/>
      <c r="C12" s="790"/>
      <c r="D12" s="794"/>
      <c r="E12" s="801"/>
      <c r="F12" s="813" t="str">
        <f t="shared" si="0"/>
        <v>----</v>
      </c>
      <c r="G12" s="801"/>
      <c r="H12" s="813" t="str">
        <f t="shared" si="1"/>
        <v>----</v>
      </c>
      <c r="I12" s="798"/>
      <c r="J12" s="814" t="str">
        <f t="shared" si="2"/>
        <v>----</v>
      </c>
    </row>
    <row r="13" spans="1:11">
      <c r="A13" s="91"/>
      <c r="B13" s="92"/>
      <c r="C13" s="788"/>
      <c r="D13" s="803"/>
      <c r="E13" s="805"/>
      <c r="F13" s="668" t="str">
        <f t="shared" si="0"/>
        <v>----</v>
      </c>
      <c r="G13" s="805"/>
      <c r="H13" s="668" t="str">
        <f t="shared" si="1"/>
        <v>----</v>
      </c>
      <c r="I13" s="804"/>
      <c r="J13" s="669" t="str">
        <f t="shared" si="2"/>
        <v>----</v>
      </c>
    </row>
    <row r="14" spans="1:11">
      <c r="A14" s="88"/>
      <c r="B14" s="101"/>
      <c r="C14" s="790"/>
      <c r="D14" s="794"/>
      <c r="E14" s="801"/>
      <c r="F14" s="813" t="str">
        <f t="shared" si="0"/>
        <v>----</v>
      </c>
      <c r="G14" s="801"/>
      <c r="H14" s="813" t="str">
        <f t="shared" si="1"/>
        <v>----</v>
      </c>
      <c r="I14" s="798"/>
      <c r="J14" s="814" t="str">
        <f t="shared" si="2"/>
        <v>----</v>
      </c>
    </row>
    <row r="15" spans="1:11">
      <c r="A15" s="91"/>
      <c r="B15" s="92"/>
      <c r="C15" s="788"/>
      <c r="D15" s="803"/>
      <c r="E15" s="805"/>
      <c r="F15" s="668" t="str">
        <f t="shared" si="0"/>
        <v>----</v>
      </c>
      <c r="G15" s="805"/>
      <c r="H15" s="668" t="str">
        <f t="shared" si="1"/>
        <v>----</v>
      </c>
      <c r="I15" s="804"/>
      <c r="J15" s="669" t="str">
        <f t="shared" si="2"/>
        <v>----</v>
      </c>
    </row>
    <row r="16" spans="1:11">
      <c r="A16" s="88"/>
      <c r="B16" s="101"/>
      <c r="C16" s="790"/>
      <c r="D16" s="794"/>
      <c r="E16" s="801"/>
      <c r="F16" s="813" t="str">
        <f t="shared" si="0"/>
        <v>----</v>
      </c>
      <c r="G16" s="801"/>
      <c r="H16" s="813" t="str">
        <f t="shared" si="1"/>
        <v>----</v>
      </c>
      <c r="I16" s="798"/>
      <c r="J16" s="814" t="str">
        <f t="shared" si="2"/>
        <v>----</v>
      </c>
    </row>
    <row r="17" spans="1:10">
      <c r="A17" s="91"/>
      <c r="B17" s="92"/>
      <c r="C17" s="788"/>
      <c r="D17" s="803"/>
      <c r="E17" s="805"/>
      <c r="F17" s="668" t="str">
        <f t="shared" si="0"/>
        <v>----</v>
      </c>
      <c r="G17" s="805"/>
      <c r="H17" s="668" t="str">
        <f t="shared" si="1"/>
        <v>----</v>
      </c>
      <c r="I17" s="804"/>
      <c r="J17" s="669" t="str">
        <f t="shared" si="2"/>
        <v>----</v>
      </c>
    </row>
    <row r="18" spans="1:10">
      <c r="A18" s="88"/>
      <c r="B18" s="101"/>
      <c r="C18" s="790"/>
      <c r="D18" s="794"/>
      <c r="E18" s="801"/>
      <c r="F18" s="813" t="str">
        <f t="shared" si="0"/>
        <v>----</v>
      </c>
      <c r="G18" s="801"/>
      <c r="H18" s="813" t="str">
        <f t="shared" si="1"/>
        <v>----</v>
      </c>
      <c r="I18" s="798"/>
      <c r="J18" s="814" t="str">
        <f t="shared" si="2"/>
        <v>----</v>
      </c>
    </row>
    <row r="19" spans="1:10">
      <c r="A19" s="91"/>
      <c r="B19" s="92"/>
      <c r="C19" s="788"/>
      <c r="D19" s="803"/>
      <c r="E19" s="805"/>
      <c r="F19" s="668" t="str">
        <f t="shared" si="0"/>
        <v>----</v>
      </c>
      <c r="G19" s="805"/>
      <c r="H19" s="668" t="str">
        <f t="shared" si="1"/>
        <v>----</v>
      </c>
      <c r="I19" s="804"/>
      <c r="J19" s="669" t="str">
        <f t="shared" si="2"/>
        <v>----</v>
      </c>
    </row>
    <row r="20" spans="1:10">
      <c r="A20" s="88"/>
      <c r="B20" s="101"/>
      <c r="C20" s="790"/>
      <c r="D20" s="794"/>
      <c r="E20" s="801"/>
      <c r="F20" s="813" t="str">
        <f t="shared" si="0"/>
        <v>----</v>
      </c>
      <c r="G20" s="801"/>
      <c r="H20" s="813" t="str">
        <f t="shared" si="1"/>
        <v>----</v>
      </c>
      <c r="I20" s="798"/>
      <c r="J20" s="814" t="str">
        <f t="shared" si="2"/>
        <v>----</v>
      </c>
    </row>
    <row r="21" spans="1:10">
      <c r="A21" s="91"/>
      <c r="B21" s="92"/>
      <c r="C21" s="788"/>
      <c r="D21" s="803"/>
      <c r="E21" s="805"/>
      <c r="F21" s="668" t="str">
        <f t="shared" si="0"/>
        <v>----</v>
      </c>
      <c r="G21" s="805"/>
      <c r="H21" s="668" t="str">
        <f t="shared" si="1"/>
        <v>----</v>
      </c>
      <c r="I21" s="804"/>
      <c r="J21" s="669" t="str">
        <f t="shared" si="2"/>
        <v>----</v>
      </c>
    </row>
    <row r="22" spans="1:10">
      <c r="A22" s="88"/>
      <c r="B22" s="101"/>
      <c r="C22" s="790"/>
      <c r="D22" s="794"/>
      <c r="E22" s="801"/>
      <c r="F22" s="813" t="str">
        <f t="shared" si="0"/>
        <v>----</v>
      </c>
      <c r="G22" s="801"/>
      <c r="H22" s="813" t="str">
        <f t="shared" si="1"/>
        <v>----</v>
      </c>
      <c r="I22" s="798"/>
      <c r="J22" s="814" t="str">
        <f t="shared" si="2"/>
        <v>----</v>
      </c>
    </row>
    <row r="23" spans="1:10">
      <c r="A23" s="91"/>
      <c r="B23" s="92"/>
      <c r="C23" s="788"/>
      <c r="D23" s="803"/>
      <c r="E23" s="805"/>
      <c r="F23" s="668" t="str">
        <f t="shared" si="0"/>
        <v>----</v>
      </c>
      <c r="G23" s="805"/>
      <c r="H23" s="668" t="str">
        <f t="shared" si="1"/>
        <v>----</v>
      </c>
      <c r="I23" s="804"/>
      <c r="J23" s="669"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0</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4" customWidth="1"/>
    <col min="6" max="6" width="12.85546875" style="434" customWidth="1"/>
    <col min="7" max="7" width="10.5703125" style="434" customWidth="1"/>
    <col min="8" max="8" width="12.85546875" style="434" customWidth="1"/>
    <col min="9" max="9" width="10.5703125" customWidth="1"/>
    <col min="10" max="10" width="12.85546875" customWidth="1"/>
  </cols>
  <sheetData>
    <row r="1" spans="1:11" ht="15.75" thickBot="1">
      <c r="A1" s="958" t="s">
        <v>140</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43788</v>
      </c>
      <c r="B4" s="71" t="s">
        <v>403</v>
      </c>
      <c r="C4" s="72">
        <v>590082.25</v>
      </c>
      <c r="D4" s="431">
        <f>C4</f>
        <v>590082.25</v>
      </c>
      <c r="E4" s="471"/>
      <c r="F4" s="472" t="str">
        <f t="shared" ref="F4:F22" si="0">IF(ISBLANK(E4),"----",E4-D4)</f>
        <v>----</v>
      </c>
      <c r="G4" s="471"/>
      <c r="H4" s="472" t="str">
        <f t="shared" ref="H4:H22" si="1">IF(OR(G4="Complete",ISBLANK(G4)),"----",G4-$D4)</f>
        <v>----</v>
      </c>
      <c r="I4" s="481"/>
      <c r="J4" s="73" t="str">
        <f t="shared" ref="J4:J22" si="2">IF(OR(I4="Complete",ISBLANK(I4)),"----",I4-$D4)</f>
        <v>----</v>
      </c>
    </row>
    <row r="5" spans="1:11">
      <c r="A5" s="88">
        <v>44243</v>
      </c>
      <c r="B5" s="101" t="s">
        <v>402</v>
      </c>
      <c r="C5" s="82">
        <v>598259.81000000006</v>
      </c>
      <c r="D5" s="433">
        <f>C5</f>
        <v>598259.81000000006</v>
      </c>
      <c r="E5" s="473">
        <v>593849.59999999998</v>
      </c>
      <c r="F5" s="474">
        <f t="shared" si="0"/>
        <v>-4410.2100000000792</v>
      </c>
      <c r="G5" s="473" t="s">
        <v>703</v>
      </c>
      <c r="H5" s="474" t="str">
        <f t="shared" si="1"/>
        <v>----</v>
      </c>
      <c r="I5" s="486" t="s">
        <v>703</v>
      </c>
      <c r="J5" s="83" t="str">
        <f t="shared" si="2"/>
        <v>----</v>
      </c>
    </row>
    <row r="6" spans="1:11">
      <c r="A6" s="268">
        <v>44460</v>
      </c>
      <c r="B6" s="269" t="s">
        <v>457</v>
      </c>
      <c r="C6" s="270">
        <v>1410959.85</v>
      </c>
      <c r="D6" s="584" t="s">
        <v>509</v>
      </c>
      <c r="E6" s="586"/>
      <c r="F6" s="587" t="str">
        <f t="shared" si="0"/>
        <v>----</v>
      </c>
      <c r="G6" s="586"/>
      <c r="H6" s="587" t="str">
        <f t="shared" si="1"/>
        <v>----</v>
      </c>
      <c r="I6" s="585">
        <f>1650187.98-1650187.98</f>
        <v>0</v>
      </c>
      <c r="J6" s="271">
        <v>0</v>
      </c>
      <c r="K6" s="272" t="s">
        <v>510</v>
      </c>
    </row>
    <row r="7" spans="1:11">
      <c r="A7" s="102">
        <v>44824</v>
      </c>
      <c r="B7" s="103" t="s">
        <v>566</v>
      </c>
      <c r="C7" s="87">
        <v>1596014.25</v>
      </c>
      <c r="D7" s="468">
        <v>596014.25</v>
      </c>
      <c r="E7" s="475"/>
      <c r="F7" s="474" t="str">
        <f t="shared" si="0"/>
        <v>----</v>
      </c>
      <c r="G7" s="475"/>
      <c r="H7" s="474" t="str">
        <f t="shared" si="1"/>
        <v>----</v>
      </c>
      <c r="I7" s="488"/>
      <c r="J7" s="83" t="str">
        <f t="shared" si="2"/>
        <v>----</v>
      </c>
      <c r="K7" t="s">
        <v>565</v>
      </c>
    </row>
    <row r="8" spans="1:11">
      <c r="A8" s="102">
        <v>45308</v>
      </c>
      <c r="B8" s="103" t="s">
        <v>712</v>
      </c>
      <c r="C8" s="87">
        <v>574020.69999999995</v>
      </c>
      <c r="D8" s="468">
        <f>C8</f>
        <v>574020.69999999995</v>
      </c>
      <c r="E8" s="475"/>
      <c r="F8" s="474" t="str">
        <f t="shared" si="0"/>
        <v>----</v>
      </c>
      <c r="G8" s="475"/>
      <c r="H8" s="474" t="str">
        <f t="shared" si="1"/>
        <v>----</v>
      </c>
      <c r="I8" s="488"/>
      <c r="J8" s="83" t="str">
        <f t="shared" si="2"/>
        <v>----</v>
      </c>
    </row>
    <row r="9" spans="1:11">
      <c r="A9" s="102"/>
      <c r="B9" s="103"/>
      <c r="C9" s="87"/>
      <c r="D9" s="468"/>
      <c r="E9" s="475"/>
      <c r="F9" s="474" t="str">
        <f t="shared" si="0"/>
        <v>----</v>
      </c>
      <c r="G9" s="475"/>
      <c r="H9" s="474" t="str">
        <f t="shared" si="1"/>
        <v>----</v>
      </c>
      <c r="I9" s="488"/>
      <c r="J9" s="83" t="str">
        <f t="shared" si="2"/>
        <v>----</v>
      </c>
    </row>
    <row r="10" spans="1:11">
      <c r="A10" s="102"/>
      <c r="B10" s="103"/>
      <c r="C10" s="87"/>
      <c r="D10" s="468"/>
      <c r="E10" s="475"/>
      <c r="F10" s="474" t="str">
        <f t="shared" si="0"/>
        <v>----</v>
      </c>
      <c r="G10" s="475"/>
      <c r="H10" s="474" t="str">
        <f t="shared" si="1"/>
        <v>----</v>
      </c>
      <c r="I10" s="488"/>
      <c r="J10" s="83" t="str">
        <f t="shared" si="2"/>
        <v>----</v>
      </c>
    </row>
    <row r="11" spans="1:11">
      <c r="A11" s="102"/>
      <c r="B11" s="103"/>
      <c r="C11" s="87"/>
      <c r="D11" s="468"/>
      <c r="E11" s="475"/>
      <c r="F11" s="474" t="str">
        <f t="shared" si="0"/>
        <v>----</v>
      </c>
      <c r="G11" s="475"/>
      <c r="H11" s="474" t="str">
        <f t="shared" si="1"/>
        <v>----</v>
      </c>
      <c r="I11" s="488"/>
      <c r="J11" s="83" t="str">
        <f t="shared" si="2"/>
        <v>----</v>
      </c>
    </row>
    <row r="12" spans="1:11">
      <c r="A12" s="102"/>
      <c r="B12" s="103"/>
      <c r="C12" s="87"/>
      <c r="D12" s="468"/>
      <c r="E12" s="475"/>
      <c r="F12" s="474" t="str">
        <f t="shared" si="0"/>
        <v>----</v>
      </c>
      <c r="G12" s="475"/>
      <c r="H12" s="474" t="str">
        <f t="shared" si="1"/>
        <v>----</v>
      </c>
      <c r="I12" s="488"/>
      <c r="J12" s="83" t="str">
        <f t="shared" si="2"/>
        <v>----</v>
      </c>
    </row>
    <row r="13" spans="1:11">
      <c r="A13" s="102"/>
      <c r="B13" s="103"/>
      <c r="C13" s="87"/>
      <c r="D13" s="468"/>
      <c r="E13" s="475"/>
      <c r="F13" s="474" t="str">
        <f t="shared" si="0"/>
        <v>----</v>
      </c>
      <c r="G13" s="475"/>
      <c r="H13" s="474" t="str">
        <f t="shared" si="1"/>
        <v>----</v>
      </c>
      <c r="I13" s="488"/>
      <c r="J13" s="83" t="str">
        <f t="shared" si="2"/>
        <v>----</v>
      </c>
    </row>
    <row r="14" spans="1:11">
      <c r="A14" s="102"/>
      <c r="B14" s="103"/>
      <c r="C14" s="87"/>
      <c r="D14" s="468"/>
      <c r="E14" s="475"/>
      <c r="F14" s="474" t="str">
        <f t="shared" si="0"/>
        <v>----</v>
      </c>
      <c r="G14" s="475"/>
      <c r="H14" s="474" t="str">
        <f t="shared" si="1"/>
        <v>----</v>
      </c>
      <c r="I14" s="488"/>
      <c r="J14" s="83" t="str">
        <f t="shared" si="2"/>
        <v>----</v>
      </c>
    </row>
    <row r="15" spans="1:11">
      <c r="A15" s="102"/>
      <c r="B15" s="103"/>
      <c r="C15" s="87"/>
      <c r="D15" s="468"/>
      <c r="E15" s="475"/>
      <c r="F15" s="474" t="str">
        <f t="shared" si="0"/>
        <v>----</v>
      </c>
      <c r="G15" s="475"/>
      <c r="H15" s="474" t="str">
        <f t="shared" si="1"/>
        <v>----</v>
      </c>
      <c r="I15" s="488"/>
      <c r="J15" s="83" t="str">
        <f t="shared" si="2"/>
        <v>----</v>
      </c>
    </row>
    <row r="16" spans="1:11">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02"/>
      <c r="B18" s="103"/>
      <c r="C18" s="87"/>
      <c r="D18" s="468"/>
      <c r="E18" s="475"/>
      <c r="F18" s="474" t="str">
        <f t="shared" si="0"/>
        <v>----</v>
      </c>
      <c r="G18" s="475"/>
      <c r="H18" s="474" t="str">
        <f t="shared" si="1"/>
        <v>----</v>
      </c>
      <c r="I18" s="488"/>
      <c r="J18" s="83" t="str">
        <f t="shared" si="2"/>
        <v>----</v>
      </c>
    </row>
    <row r="19" spans="1:10">
      <c r="A19" s="102"/>
      <c r="B19" s="103"/>
      <c r="C19" s="87"/>
      <c r="D19" s="468"/>
      <c r="E19" s="475"/>
      <c r="F19" s="474" t="str">
        <f t="shared" si="0"/>
        <v>----</v>
      </c>
      <c r="G19" s="475"/>
      <c r="H19" s="474" t="str">
        <f t="shared" si="1"/>
        <v>----</v>
      </c>
      <c r="I19" s="488"/>
      <c r="J19" s="83" t="str">
        <f t="shared" si="2"/>
        <v>----</v>
      </c>
    </row>
    <row r="20" spans="1:10">
      <c r="A20" s="102"/>
      <c r="B20" s="103"/>
      <c r="C20" s="87"/>
      <c r="D20" s="468"/>
      <c r="E20" s="475"/>
      <c r="F20" s="474" t="str">
        <f t="shared" si="0"/>
        <v>----</v>
      </c>
      <c r="G20" s="475"/>
      <c r="H20" s="474" t="str">
        <f t="shared" si="1"/>
        <v>----</v>
      </c>
      <c r="I20" s="488"/>
      <c r="J20" s="83" t="str">
        <f t="shared" si="2"/>
        <v>----</v>
      </c>
    </row>
    <row r="21" spans="1:10">
      <c r="A21" s="116"/>
      <c r="B21" s="117"/>
      <c r="C21" s="118"/>
      <c r="D21" s="469"/>
      <c r="E21" s="476"/>
      <c r="F21" s="474" t="str">
        <f t="shared" si="0"/>
        <v>----</v>
      </c>
      <c r="G21" s="476"/>
      <c r="H21" s="474" t="str">
        <f t="shared" si="1"/>
        <v>----</v>
      </c>
      <c r="I21" s="490"/>
      <c r="J21" s="83"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-4410.2100000000792</v>
      </c>
      <c r="G23" s="441"/>
      <c r="H23" s="443">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4" bestFit="1" customWidth="1"/>
    <col min="6" max="6" width="14" style="434" customWidth="1"/>
    <col min="7" max="7" width="12" style="434" bestFit="1" customWidth="1"/>
    <col min="8" max="8" width="14" style="434" customWidth="1"/>
    <col min="9" max="9" width="12" bestFit="1" customWidth="1"/>
    <col min="10" max="10" width="14" customWidth="1"/>
  </cols>
  <sheetData>
    <row r="1" spans="1:10" ht="15.75" thickBot="1">
      <c r="A1" s="958" t="s">
        <v>187</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113</v>
      </c>
      <c r="G3" s="462" t="s">
        <v>121</v>
      </c>
      <c r="H3" s="470" t="s">
        <v>113</v>
      </c>
      <c r="I3" s="480" t="s">
        <v>121</v>
      </c>
      <c r="J3" s="25" t="s">
        <v>113</v>
      </c>
    </row>
    <row r="4" spans="1:10">
      <c r="A4" s="70">
        <v>43852</v>
      </c>
      <c r="B4" s="71" t="s">
        <v>191</v>
      </c>
      <c r="C4" s="72">
        <v>2217900.0499999998</v>
      </c>
      <c r="D4" s="431">
        <f>C4</f>
        <v>2217900.0499999998</v>
      </c>
      <c r="E4" s="515">
        <v>2258461.2599999998</v>
      </c>
      <c r="F4" s="472">
        <f t="shared" ref="F4:F22" si="0">IF(ISBLANK(E4),"----",E4-D4)</f>
        <v>40561.209999999963</v>
      </c>
      <c r="G4" s="471" t="s">
        <v>703</v>
      </c>
      <c r="H4" s="472" t="str">
        <f t="shared" ref="H4:H22" si="1">IF(OR(G4="Complete",ISBLANK(G4)),"----",G4-$D4)</f>
        <v>----</v>
      </c>
      <c r="I4" s="481" t="s">
        <v>703</v>
      </c>
      <c r="J4" s="73" t="str">
        <f t="shared" ref="J4:J22" si="2">IF(OR(I4="Complete",ISBLANK(I4)),"----",I4-$D4)</f>
        <v>----</v>
      </c>
    </row>
    <row r="5" spans="1:10">
      <c r="A5" s="88">
        <v>44180</v>
      </c>
      <c r="B5" s="101" t="s">
        <v>365</v>
      </c>
      <c r="C5" s="459">
        <v>907604.08</v>
      </c>
      <c r="D5" s="506">
        <f>C5</f>
        <v>907604.08</v>
      </c>
      <c r="E5" s="593">
        <v>922172.46</v>
      </c>
      <c r="F5" s="594">
        <f t="shared" si="0"/>
        <v>14568.380000000005</v>
      </c>
      <c r="G5" s="593" t="s">
        <v>703</v>
      </c>
      <c r="H5" s="594" t="str">
        <f t="shared" si="1"/>
        <v>----</v>
      </c>
      <c r="I5" s="595" t="s">
        <v>703</v>
      </c>
      <c r="J5" s="596" t="str">
        <f t="shared" si="2"/>
        <v>----</v>
      </c>
    </row>
    <row r="6" spans="1:10">
      <c r="A6" s="102"/>
      <c r="B6" s="103"/>
      <c r="C6" s="87"/>
      <c r="D6" s="468"/>
      <c r="E6" s="475"/>
      <c r="F6" s="489" t="str">
        <f t="shared" si="0"/>
        <v>----</v>
      </c>
      <c r="G6" s="475"/>
      <c r="H6" s="489" t="str">
        <f t="shared" si="1"/>
        <v>----</v>
      </c>
      <c r="I6" s="488"/>
      <c r="J6" s="119" t="str">
        <f t="shared" si="2"/>
        <v>----</v>
      </c>
    </row>
    <row r="7" spans="1:10">
      <c r="A7" s="102"/>
      <c r="B7" s="103"/>
      <c r="C7" s="87"/>
      <c r="D7" s="468"/>
      <c r="E7" s="475"/>
      <c r="F7" s="523" t="str">
        <f t="shared" si="0"/>
        <v>----</v>
      </c>
      <c r="G7" s="475"/>
      <c r="H7" s="523" t="str">
        <f t="shared" si="1"/>
        <v>----</v>
      </c>
      <c r="I7" s="488"/>
      <c r="J7" s="140" t="str">
        <f t="shared" si="2"/>
        <v>----</v>
      </c>
    </row>
    <row r="8" spans="1:10">
      <c r="A8" s="102"/>
      <c r="B8" s="103"/>
      <c r="C8" s="87"/>
      <c r="D8" s="468"/>
      <c r="E8" s="475"/>
      <c r="F8" s="523" t="str">
        <f t="shared" si="0"/>
        <v>----</v>
      </c>
      <c r="G8" s="475"/>
      <c r="H8" s="523" t="str">
        <f t="shared" si="1"/>
        <v>----</v>
      </c>
      <c r="I8" s="488"/>
      <c r="J8" s="140" t="str">
        <f t="shared" si="2"/>
        <v>----</v>
      </c>
    </row>
    <row r="9" spans="1:10">
      <c r="A9" s="102"/>
      <c r="B9" s="103"/>
      <c r="C9" s="87"/>
      <c r="D9" s="468"/>
      <c r="E9" s="475"/>
      <c r="F9" s="523" t="str">
        <f t="shared" si="0"/>
        <v>----</v>
      </c>
      <c r="G9" s="475"/>
      <c r="H9" s="523" t="str">
        <f t="shared" si="1"/>
        <v>----</v>
      </c>
      <c r="I9" s="488"/>
      <c r="J9" s="140" t="str">
        <f t="shared" si="2"/>
        <v>----</v>
      </c>
    </row>
    <row r="10" spans="1:10">
      <c r="A10" s="102"/>
      <c r="B10" s="103"/>
      <c r="C10" s="87"/>
      <c r="D10" s="468"/>
      <c r="E10" s="475"/>
      <c r="F10" s="523" t="str">
        <f t="shared" si="0"/>
        <v>----</v>
      </c>
      <c r="G10" s="475"/>
      <c r="H10" s="523" t="str">
        <f t="shared" si="1"/>
        <v>----</v>
      </c>
      <c r="I10" s="488"/>
      <c r="J10" s="140" t="str">
        <f t="shared" si="2"/>
        <v>----</v>
      </c>
    </row>
    <row r="11" spans="1:10">
      <c r="A11" s="102"/>
      <c r="B11" s="103"/>
      <c r="C11" s="87"/>
      <c r="D11" s="468"/>
      <c r="E11" s="475"/>
      <c r="F11" s="523" t="str">
        <f t="shared" si="0"/>
        <v>----</v>
      </c>
      <c r="G11" s="475"/>
      <c r="H11" s="523" t="str">
        <f t="shared" si="1"/>
        <v>----</v>
      </c>
      <c r="I11" s="488"/>
      <c r="J11" s="140" t="str">
        <f t="shared" si="2"/>
        <v>----</v>
      </c>
    </row>
    <row r="12" spans="1:10">
      <c r="A12" s="102"/>
      <c r="B12" s="103"/>
      <c r="C12" s="87"/>
      <c r="D12" s="468"/>
      <c r="E12" s="475"/>
      <c r="F12" s="523" t="str">
        <f t="shared" si="0"/>
        <v>----</v>
      </c>
      <c r="G12" s="475"/>
      <c r="H12" s="523" t="str">
        <f t="shared" si="1"/>
        <v>----</v>
      </c>
      <c r="I12" s="488"/>
      <c r="J12" s="140" t="str">
        <f t="shared" si="2"/>
        <v>----</v>
      </c>
    </row>
    <row r="13" spans="1:10">
      <c r="A13" s="102"/>
      <c r="B13" s="103"/>
      <c r="C13" s="87"/>
      <c r="D13" s="468"/>
      <c r="E13" s="475"/>
      <c r="F13" s="523" t="str">
        <f t="shared" si="0"/>
        <v>----</v>
      </c>
      <c r="G13" s="475"/>
      <c r="H13" s="523" t="str">
        <f t="shared" si="1"/>
        <v>----</v>
      </c>
      <c r="I13" s="488"/>
      <c r="J13" s="140" t="str">
        <f t="shared" si="2"/>
        <v>----</v>
      </c>
    </row>
    <row r="14" spans="1:10">
      <c r="A14" s="102"/>
      <c r="B14" s="103"/>
      <c r="C14" s="87"/>
      <c r="D14" s="468"/>
      <c r="E14" s="475"/>
      <c r="F14" s="523" t="str">
        <f t="shared" si="0"/>
        <v>----</v>
      </c>
      <c r="G14" s="475"/>
      <c r="H14" s="523" t="str">
        <f t="shared" si="1"/>
        <v>----</v>
      </c>
      <c r="I14" s="488"/>
      <c r="J14" s="140" t="str">
        <f t="shared" si="2"/>
        <v>----</v>
      </c>
    </row>
    <row r="15" spans="1:10">
      <c r="A15" s="102"/>
      <c r="B15" s="103"/>
      <c r="C15" s="87"/>
      <c r="D15" s="468"/>
      <c r="E15" s="475"/>
      <c r="F15" s="523" t="str">
        <f t="shared" si="0"/>
        <v>----</v>
      </c>
      <c r="G15" s="475"/>
      <c r="H15" s="523" t="str">
        <f t="shared" si="1"/>
        <v>----</v>
      </c>
      <c r="I15" s="488"/>
      <c r="J15" s="140" t="str">
        <f t="shared" si="2"/>
        <v>----</v>
      </c>
    </row>
    <row r="16" spans="1:10">
      <c r="A16" s="102"/>
      <c r="B16" s="103"/>
      <c r="C16" s="87"/>
      <c r="D16" s="468"/>
      <c r="E16" s="475"/>
      <c r="F16" s="523" t="str">
        <f t="shared" si="0"/>
        <v>----</v>
      </c>
      <c r="G16" s="475"/>
      <c r="H16" s="523" t="str">
        <f t="shared" si="1"/>
        <v>----</v>
      </c>
      <c r="I16" s="488"/>
      <c r="J16" s="140" t="str">
        <f t="shared" si="2"/>
        <v>----</v>
      </c>
    </row>
    <row r="17" spans="1:10">
      <c r="A17" s="102"/>
      <c r="B17" s="103"/>
      <c r="C17" s="87"/>
      <c r="D17" s="468"/>
      <c r="E17" s="475"/>
      <c r="F17" s="523" t="str">
        <f t="shared" si="0"/>
        <v>----</v>
      </c>
      <c r="G17" s="475"/>
      <c r="H17" s="523" t="str">
        <f t="shared" si="1"/>
        <v>----</v>
      </c>
      <c r="I17" s="488"/>
      <c r="J17" s="140" t="str">
        <f t="shared" si="2"/>
        <v>----</v>
      </c>
    </row>
    <row r="18" spans="1:10">
      <c r="A18" s="102"/>
      <c r="B18" s="103"/>
      <c r="C18" s="87"/>
      <c r="D18" s="468"/>
      <c r="E18" s="475"/>
      <c r="F18" s="523" t="str">
        <f t="shared" si="0"/>
        <v>----</v>
      </c>
      <c r="G18" s="475"/>
      <c r="H18" s="523" t="str">
        <f t="shared" si="1"/>
        <v>----</v>
      </c>
      <c r="I18" s="488"/>
      <c r="J18" s="140" t="str">
        <f t="shared" si="2"/>
        <v>----</v>
      </c>
    </row>
    <row r="19" spans="1:10">
      <c r="A19" s="102"/>
      <c r="B19" s="103"/>
      <c r="C19" s="87"/>
      <c r="D19" s="468"/>
      <c r="E19" s="475"/>
      <c r="F19" s="523" t="str">
        <f t="shared" si="0"/>
        <v>----</v>
      </c>
      <c r="G19" s="475"/>
      <c r="H19" s="523" t="str">
        <f t="shared" si="1"/>
        <v>----</v>
      </c>
      <c r="I19" s="488"/>
      <c r="J19" s="140" t="str">
        <f t="shared" si="2"/>
        <v>----</v>
      </c>
    </row>
    <row r="20" spans="1:10">
      <c r="A20" s="102"/>
      <c r="B20" s="103"/>
      <c r="C20" s="87"/>
      <c r="D20" s="468"/>
      <c r="E20" s="475"/>
      <c r="F20" s="523" t="str">
        <f t="shared" si="0"/>
        <v>----</v>
      </c>
      <c r="G20" s="475"/>
      <c r="H20" s="523" t="str">
        <f t="shared" si="1"/>
        <v>----</v>
      </c>
      <c r="I20" s="488"/>
      <c r="J20" s="140" t="str">
        <f t="shared" si="2"/>
        <v>----</v>
      </c>
    </row>
    <row r="21" spans="1:10">
      <c r="A21" s="91"/>
      <c r="B21" s="92"/>
      <c r="C21" s="84"/>
      <c r="D21" s="479"/>
      <c r="E21" s="484"/>
      <c r="F21" s="523" t="str">
        <f t="shared" si="0"/>
        <v>----</v>
      </c>
      <c r="G21" s="484"/>
      <c r="H21" s="523" t="str">
        <f t="shared" si="1"/>
        <v>----</v>
      </c>
      <c r="I21" s="482"/>
      <c r="J21" s="140" t="str">
        <f t="shared" si="2"/>
        <v>----</v>
      </c>
    </row>
    <row r="22" spans="1:10" ht="15.75" thickBot="1">
      <c r="A22" s="74"/>
      <c r="B22" s="75"/>
      <c r="C22" s="76"/>
      <c r="D22" s="432"/>
      <c r="E22" s="477"/>
      <c r="F22" s="478" t="str">
        <f t="shared" si="0"/>
        <v>----</v>
      </c>
      <c r="G22" s="477"/>
      <c r="H22" s="478" t="str">
        <f t="shared" si="1"/>
        <v>----</v>
      </c>
      <c r="I22" s="483"/>
      <c r="J22" s="77" t="str">
        <f t="shared" si="2"/>
        <v>----</v>
      </c>
    </row>
    <row r="23" spans="1:10" ht="15.75" thickBot="1">
      <c r="A23" s="27"/>
      <c r="B23" s="27"/>
      <c r="C23" s="28"/>
      <c r="D23" s="28"/>
      <c r="E23" s="441"/>
      <c r="F23" s="443">
        <f>SUM(F4:F22)</f>
        <v>55129.589999999967</v>
      </c>
      <c r="G23" s="441"/>
      <c r="H23" s="443">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F16" sqref="F16"/>
    </sheetView>
  </sheetViews>
  <sheetFormatPr defaultRowHeight="15"/>
  <cols>
    <col min="2" max="2" width="22.85546875" bestFit="1" customWidth="1"/>
    <col min="3" max="4" width="12" bestFit="1" customWidth="1"/>
    <col min="5" max="5" width="10.7109375" style="434" bestFit="1" customWidth="1"/>
    <col min="6" max="6" width="9.140625" style="434"/>
    <col min="7" max="7" width="10.7109375" style="434" bestFit="1" customWidth="1"/>
    <col min="8" max="8" width="10.42578125" style="434" bestFit="1" customWidth="1"/>
    <col min="9" max="9" width="10.7109375" bestFit="1" customWidth="1"/>
  </cols>
  <sheetData>
    <row r="1" spans="1:10" ht="15.75" thickBot="1">
      <c r="A1" s="958" t="s">
        <v>281</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69" thickBot="1">
      <c r="A3" s="966"/>
      <c r="B3" s="968"/>
      <c r="C3" s="968"/>
      <c r="D3" s="980"/>
      <c r="E3" s="462" t="s">
        <v>121</v>
      </c>
      <c r="F3" s="470" t="s">
        <v>113</v>
      </c>
      <c r="G3" s="462" t="s">
        <v>121</v>
      </c>
      <c r="H3" s="470" t="s">
        <v>113</v>
      </c>
      <c r="I3" s="480" t="s">
        <v>121</v>
      </c>
      <c r="J3" s="25" t="s">
        <v>113</v>
      </c>
    </row>
    <row r="4" spans="1:10">
      <c r="A4" s="70">
        <v>44180</v>
      </c>
      <c r="B4" s="71" t="s">
        <v>366</v>
      </c>
      <c r="C4" s="787">
        <v>613276.30000000005</v>
      </c>
      <c r="D4" s="793">
        <f>C4</f>
        <v>613276.30000000005</v>
      </c>
      <c r="E4" s="800">
        <v>616949.07999999996</v>
      </c>
      <c r="F4" s="809">
        <f t="shared" ref="F4:F21" si="0">IF(ISBLANK(E4),"----",E4-D4)</f>
        <v>3672.7799999999115</v>
      </c>
      <c r="G4" s="800" t="s">
        <v>703</v>
      </c>
      <c r="H4" s="809" t="str">
        <f t="shared" ref="H4:H21" si="1">IF(OR(G4="Complete",ISBLANK(G4)),"----",G4-$D4)</f>
        <v>----</v>
      </c>
      <c r="I4" s="797" t="s">
        <v>703</v>
      </c>
      <c r="J4" s="810" t="str">
        <f t="shared" ref="J4:J21" si="2">IF(OR(I4="Complete",ISBLANK(I4)),"----",I4-$D4)</f>
        <v>----</v>
      </c>
    </row>
    <row r="5" spans="1:10">
      <c r="A5" s="88">
        <v>44425</v>
      </c>
      <c r="B5" s="101" t="s">
        <v>448</v>
      </c>
      <c r="C5" s="790">
        <v>497173.2</v>
      </c>
      <c r="D5" s="794">
        <f>C5</f>
        <v>497173.2</v>
      </c>
      <c r="E5" s="801"/>
      <c r="F5" s="813" t="str">
        <f t="shared" si="0"/>
        <v>----</v>
      </c>
      <c r="G5" s="801"/>
      <c r="H5" s="813" t="str">
        <f t="shared" si="1"/>
        <v>----</v>
      </c>
      <c r="I5" s="798"/>
      <c r="J5" s="814" t="str">
        <f t="shared" si="2"/>
        <v>----</v>
      </c>
    </row>
    <row r="6" spans="1:10">
      <c r="A6" s="91">
        <v>44425</v>
      </c>
      <c r="B6" s="92" t="s">
        <v>449</v>
      </c>
      <c r="C6" s="788">
        <v>1113678.29</v>
      </c>
      <c r="D6" s="803">
        <f>C6</f>
        <v>1113678.29</v>
      </c>
      <c r="E6" s="805"/>
      <c r="F6" s="668" t="str">
        <f t="shared" si="0"/>
        <v>----</v>
      </c>
      <c r="G6" s="805">
        <v>1052472.1399999999</v>
      </c>
      <c r="H6" s="668">
        <f t="shared" si="1"/>
        <v>-61206.15000000014</v>
      </c>
      <c r="I6" s="804" t="s">
        <v>703</v>
      </c>
      <c r="J6" s="669" t="str">
        <f t="shared" si="2"/>
        <v>----</v>
      </c>
    </row>
    <row r="7" spans="1:10">
      <c r="A7" s="88">
        <v>44460</v>
      </c>
      <c r="B7" s="101" t="s">
        <v>458</v>
      </c>
      <c r="C7" s="790">
        <v>1026961.51</v>
      </c>
      <c r="D7" s="794">
        <v>562691.51</v>
      </c>
      <c r="E7" s="801"/>
      <c r="F7" s="813" t="str">
        <f t="shared" si="0"/>
        <v>----</v>
      </c>
      <c r="G7" s="854"/>
      <c r="H7" s="813" t="str">
        <f t="shared" si="1"/>
        <v>----</v>
      </c>
      <c r="I7" s="855">
        <f>1025829.83-464270</f>
        <v>561559.82999999996</v>
      </c>
      <c r="J7" s="814">
        <f t="shared" si="2"/>
        <v>-1131.6800000000512</v>
      </c>
    </row>
    <row r="8" spans="1:10">
      <c r="A8" s="91">
        <v>44516</v>
      </c>
      <c r="B8" s="92" t="s">
        <v>468</v>
      </c>
      <c r="C8" s="788">
        <v>603692</v>
      </c>
      <c r="D8" s="795">
        <f>C8</f>
        <v>603692</v>
      </c>
      <c r="E8" s="805"/>
      <c r="F8" s="668" t="str">
        <f t="shared" si="0"/>
        <v>----</v>
      </c>
      <c r="G8" s="805"/>
      <c r="H8" s="668" t="str">
        <f t="shared" si="1"/>
        <v>----</v>
      </c>
      <c r="I8" s="804"/>
      <c r="J8" s="669" t="str">
        <f t="shared" si="2"/>
        <v>----</v>
      </c>
    </row>
    <row r="9" spans="1:10">
      <c r="A9" s="88">
        <v>44761</v>
      </c>
      <c r="B9" s="101" t="s">
        <v>548</v>
      </c>
      <c r="C9" s="790">
        <v>1772735.58</v>
      </c>
      <c r="D9" s="784">
        <f>C9</f>
        <v>1772735.58</v>
      </c>
      <c r="E9" s="801"/>
      <c r="F9" s="813" t="str">
        <f t="shared" si="0"/>
        <v>----</v>
      </c>
      <c r="G9" s="801"/>
      <c r="H9" s="813" t="str">
        <f t="shared" si="1"/>
        <v>----</v>
      </c>
      <c r="I9" s="798"/>
      <c r="J9" s="814" t="str">
        <f t="shared" si="2"/>
        <v>----</v>
      </c>
    </row>
    <row r="10" spans="1:10">
      <c r="A10" s="91">
        <v>45279</v>
      </c>
      <c r="B10" s="92" t="s">
        <v>694</v>
      </c>
      <c r="C10" s="788">
        <v>496800.25</v>
      </c>
      <c r="D10" s="784">
        <f>C10</f>
        <v>496800.25</v>
      </c>
      <c r="E10" s="805"/>
      <c r="F10" s="668" t="str">
        <f t="shared" si="0"/>
        <v>----</v>
      </c>
      <c r="G10" s="805"/>
      <c r="H10" s="668" t="str">
        <f t="shared" si="1"/>
        <v>----</v>
      </c>
      <c r="I10" s="804"/>
      <c r="J10" s="669" t="str">
        <f t="shared" si="2"/>
        <v>----</v>
      </c>
    </row>
    <row r="11" spans="1:10">
      <c r="A11" s="88">
        <v>45825</v>
      </c>
      <c r="B11" s="703" t="s">
        <v>883</v>
      </c>
      <c r="C11" s="790">
        <v>1126318.95</v>
      </c>
      <c r="D11" s="794">
        <f>C11</f>
        <v>1126318.95</v>
      </c>
      <c r="E11" s="801"/>
      <c r="F11" s="813" t="str">
        <f t="shared" si="0"/>
        <v>----</v>
      </c>
      <c r="G11" s="801"/>
      <c r="H11" s="813" t="str">
        <f t="shared" si="1"/>
        <v>----</v>
      </c>
      <c r="I11" s="798"/>
      <c r="J11" s="814" t="str">
        <f t="shared" si="2"/>
        <v>----</v>
      </c>
    </row>
    <row r="12" spans="1:10">
      <c r="A12" s="91"/>
      <c r="B12" s="92"/>
      <c r="C12" s="788"/>
      <c r="D12" s="803"/>
      <c r="E12" s="805"/>
      <c r="F12" s="668" t="str">
        <f t="shared" si="0"/>
        <v>----</v>
      </c>
      <c r="G12" s="805"/>
      <c r="H12" s="668" t="str">
        <f t="shared" si="1"/>
        <v>----</v>
      </c>
      <c r="I12" s="804"/>
      <c r="J12" s="669" t="str">
        <f t="shared" si="2"/>
        <v>----</v>
      </c>
    </row>
    <row r="13" spans="1:10">
      <c r="A13" s="88"/>
      <c r="B13" s="101"/>
      <c r="C13" s="790"/>
      <c r="D13" s="794"/>
      <c r="E13" s="801"/>
      <c r="F13" s="813" t="str">
        <f t="shared" si="0"/>
        <v>----</v>
      </c>
      <c r="G13" s="801"/>
      <c r="H13" s="813" t="str">
        <f t="shared" si="1"/>
        <v>----</v>
      </c>
      <c r="I13" s="798"/>
      <c r="J13" s="814" t="str">
        <f t="shared" si="2"/>
        <v>----</v>
      </c>
    </row>
    <row r="14" spans="1:10">
      <c r="A14" s="91"/>
      <c r="B14" s="92"/>
      <c r="C14" s="788"/>
      <c r="D14" s="803"/>
      <c r="E14" s="805"/>
      <c r="F14" s="668" t="str">
        <f t="shared" si="0"/>
        <v>----</v>
      </c>
      <c r="G14" s="805"/>
      <c r="H14" s="668" t="str">
        <f t="shared" si="1"/>
        <v>----</v>
      </c>
      <c r="I14" s="804"/>
      <c r="J14" s="669" t="str">
        <f t="shared" si="2"/>
        <v>----</v>
      </c>
    </row>
    <row r="15" spans="1:10">
      <c r="A15" s="88"/>
      <c r="B15" s="101"/>
      <c r="C15" s="790"/>
      <c r="D15" s="794"/>
      <c r="E15" s="801"/>
      <c r="F15" s="813" t="str">
        <f t="shared" si="0"/>
        <v>----</v>
      </c>
      <c r="G15" s="801"/>
      <c r="H15" s="813" t="str">
        <f t="shared" si="1"/>
        <v>----</v>
      </c>
      <c r="I15" s="798"/>
      <c r="J15" s="814" t="str">
        <f t="shared" si="2"/>
        <v>----</v>
      </c>
    </row>
    <row r="16" spans="1:10">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c r="A19" s="88"/>
      <c r="B19" s="101"/>
      <c r="C19" s="790"/>
      <c r="D19" s="794"/>
      <c r="E19" s="801"/>
      <c r="F19" s="813" t="str">
        <f t="shared" si="0"/>
        <v>----</v>
      </c>
      <c r="G19" s="801"/>
      <c r="H19" s="813" t="str">
        <f t="shared" si="1"/>
        <v>----</v>
      </c>
      <c r="I19" s="798"/>
      <c r="J19" s="814" t="str">
        <f t="shared" si="2"/>
        <v>----</v>
      </c>
    </row>
    <row r="20" spans="1:10">
      <c r="A20" s="91"/>
      <c r="B20" s="92"/>
      <c r="C20" s="788"/>
      <c r="D20" s="803"/>
      <c r="E20" s="805"/>
      <c r="F20" s="668" t="str">
        <f t="shared" si="0"/>
        <v>----</v>
      </c>
      <c r="G20" s="805"/>
      <c r="H20" s="668" t="str">
        <f t="shared" si="1"/>
        <v>----</v>
      </c>
      <c r="I20" s="804"/>
      <c r="J20" s="669"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28"/>
      <c r="D22" s="28"/>
      <c r="E22" s="441"/>
      <c r="F22" s="443">
        <f>SUM(F4:F21)</f>
        <v>3672.7799999999115</v>
      </c>
      <c r="G22" s="441"/>
      <c r="H22" s="443">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4" bestFit="1" customWidth="1"/>
    <col min="6" max="6" width="14.140625" style="434" customWidth="1"/>
    <col min="7" max="7" width="10.7109375" style="434" bestFit="1" customWidth="1"/>
    <col min="8" max="8" width="14.140625" style="434" customWidth="1"/>
    <col min="9" max="9" width="10.7109375" bestFit="1" customWidth="1"/>
    <col min="10" max="10" width="14.140625" customWidth="1"/>
  </cols>
  <sheetData>
    <row r="1" spans="1:11" ht="15.75" thickBot="1">
      <c r="A1" s="958" t="s">
        <v>233</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43942</v>
      </c>
      <c r="B4" s="71" t="s">
        <v>239</v>
      </c>
      <c r="C4" s="72">
        <v>334806.84999999998</v>
      </c>
      <c r="D4" s="431">
        <f>C4</f>
        <v>334806.84999999998</v>
      </c>
      <c r="E4" s="471">
        <v>336518.11</v>
      </c>
      <c r="F4" s="472">
        <f t="shared" ref="F4:F16" si="0">IF(ISBLANK(E4),"----",E4-D4)</f>
        <v>1711.2600000000093</v>
      </c>
      <c r="G4" s="471" t="s">
        <v>703</v>
      </c>
      <c r="H4" s="472" t="str">
        <f t="shared" ref="H4:H16" si="1">IF(OR(G4="Complete",ISBLANK(G4)),"----",G4-$D4)</f>
        <v>----</v>
      </c>
      <c r="I4" s="481" t="s">
        <v>703</v>
      </c>
      <c r="J4" s="73" t="str">
        <f t="shared" ref="J4:J16" si="2">IF(OR(I4="Complete",ISBLANK(I4)),"----",I4-$D4)</f>
        <v>----</v>
      </c>
    </row>
    <row r="5" spans="1:11">
      <c r="A5" s="127">
        <v>44153</v>
      </c>
      <c r="B5" s="124" t="s">
        <v>338</v>
      </c>
      <c r="C5" s="129">
        <v>899601.3</v>
      </c>
      <c r="D5" s="528">
        <f>C5</f>
        <v>899601.3</v>
      </c>
      <c r="E5" s="464">
        <v>963236.39</v>
      </c>
      <c r="F5" s="588">
        <f t="shared" si="0"/>
        <v>63635.089999999967</v>
      </c>
      <c r="G5" s="464" t="s">
        <v>703</v>
      </c>
      <c r="H5" s="588" t="str">
        <f t="shared" si="1"/>
        <v>----</v>
      </c>
      <c r="I5" s="530" t="s">
        <v>703</v>
      </c>
      <c r="J5" s="126" t="str">
        <f t="shared" si="2"/>
        <v>----</v>
      </c>
    </row>
    <row r="6" spans="1:11">
      <c r="A6" s="120">
        <v>44852</v>
      </c>
      <c r="B6" s="121" t="s">
        <v>575</v>
      </c>
      <c r="C6" s="122">
        <v>632854.6</v>
      </c>
      <c r="D6" s="495">
        <f>C6</f>
        <v>632854.6</v>
      </c>
      <c r="E6" s="465"/>
      <c r="F6" s="588" t="str">
        <f t="shared" si="0"/>
        <v>----</v>
      </c>
      <c r="G6" s="465"/>
      <c r="H6" s="588" t="str">
        <f t="shared" si="1"/>
        <v>----</v>
      </c>
      <c r="I6" s="497"/>
      <c r="J6" s="126" t="str">
        <f t="shared" si="2"/>
        <v>----</v>
      </c>
    </row>
    <row r="7" spans="1:11">
      <c r="A7" s="120">
        <v>44852</v>
      </c>
      <c r="B7" s="121" t="s">
        <v>576</v>
      </c>
      <c r="C7" s="122">
        <v>1007853.3</v>
      </c>
      <c r="D7" s="495">
        <f>C7</f>
        <v>1007853.3</v>
      </c>
      <c r="E7" s="465"/>
      <c r="F7" s="588" t="str">
        <f t="shared" si="0"/>
        <v>----</v>
      </c>
      <c r="G7" s="465"/>
      <c r="H7" s="588" t="str">
        <f t="shared" si="1"/>
        <v>----</v>
      </c>
      <c r="I7" s="497"/>
      <c r="J7" s="126" t="str">
        <f t="shared" si="2"/>
        <v>----</v>
      </c>
    </row>
    <row r="8" spans="1:11">
      <c r="A8" s="120">
        <v>45433</v>
      </c>
      <c r="B8" s="121" t="s">
        <v>750</v>
      </c>
      <c r="C8" s="122">
        <f>696240.42/2</f>
        <v>348120.21</v>
      </c>
      <c r="D8" s="495">
        <f>C8</f>
        <v>348120.21</v>
      </c>
      <c r="E8" s="465"/>
      <c r="F8" s="588" t="str">
        <f t="shared" si="0"/>
        <v>----</v>
      </c>
      <c r="G8" s="465"/>
      <c r="H8" s="588" t="str">
        <f t="shared" si="1"/>
        <v>----</v>
      </c>
      <c r="I8" s="497"/>
      <c r="J8" s="126" t="str">
        <f t="shared" si="2"/>
        <v>----</v>
      </c>
      <c r="K8" t="s">
        <v>772</v>
      </c>
    </row>
    <row r="9" spans="1:11">
      <c r="A9" s="120"/>
      <c r="B9" s="121"/>
      <c r="C9" s="122"/>
      <c r="D9" s="495"/>
      <c r="E9" s="465"/>
      <c r="F9" s="588" t="str">
        <f t="shared" si="0"/>
        <v>----</v>
      </c>
      <c r="G9" s="465"/>
      <c r="H9" s="588" t="str">
        <f t="shared" si="1"/>
        <v>----</v>
      </c>
      <c r="I9" s="497"/>
      <c r="J9" s="126" t="str">
        <f t="shared" si="2"/>
        <v>----</v>
      </c>
    </row>
    <row r="10" spans="1:11">
      <c r="A10" s="120"/>
      <c r="B10" s="121"/>
      <c r="C10" s="122"/>
      <c r="D10" s="495"/>
      <c r="E10" s="465"/>
      <c r="F10" s="588" t="str">
        <f t="shared" si="0"/>
        <v>----</v>
      </c>
      <c r="G10" s="465"/>
      <c r="H10" s="588" t="str">
        <f t="shared" si="1"/>
        <v>----</v>
      </c>
      <c r="I10" s="497"/>
      <c r="J10" s="126" t="str">
        <f t="shared" si="2"/>
        <v>----</v>
      </c>
    </row>
    <row r="11" spans="1:11">
      <c r="A11" s="120"/>
      <c r="B11" s="121"/>
      <c r="C11" s="122"/>
      <c r="D11" s="495"/>
      <c r="E11" s="465"/>
      <c r="F11" s="588" t="str">
        <f t="shared" si="0"/>
        <v>----</v>
      </c>
      <c r="G11" s="465"/>
      <c r="H11" s="588" t="str">
        <f t="shared" si="1"/>
        <v>----</v>
      </c>
      <c r="I11" s="497"/>
      <c r="J11" s="126" t="str">
        <f t="shared" si="2"/>
        <v>----</v>
      </c>
    </row>
    <row r="12" spans="1:11">
      <c r="A12" s="120"/>
      <c r="B12" s="121"/>
      <c r="C12" s="122"/>
      <c r="D12" s="495"/>
      <c r="E12" s="465"/>
      <c r="F12" s="588" t="str">
        <f t="shared" si="0"/>
        <v>----</v>
      </c>
      <c r="G12" s="465"/>
      <c r="H12" s="588" t="str">
        <f t="shared" si="1"/>
        <v>----</v>
      </c>
      <c r="I12" s="497"/>
      <c r="J12" s="126" t="str">
        <f t="shared" si="2"/>
        <v>----</v>
      </c>
    </row>
    <row r="13" spans="1:11">
      <c r="A13" s="120"/>
      <c r="B13" s="121"/>
      <c r="C13" s="122"/>
      <c r="D13" s="495"/>
      <c r="E13" s="465"/>
      <c r="F13" s="588" t="str">
        <f t="shared" si="0"/>
        <v>----</v>
      </c>
      <c r="G13" s="465"/>
      <c r="H13" s="588" t="str">
        <f t="shared" si="1"/>
        <v>----</v>
      </c>
      <c r="I13" s="497"/>
      <c r="J13" s="126" t="str">
        <f t="shared" si="2"/>
        <v>----</v>
      </c>
    </row>
    <row r="14" spans="1:11">
      <c r="A14" s="120"/>
      <c r="B14" s="121"/>
      <c r="C14" s="122"/>
      <c r="D14" s="495"/>
      <c r="E14" s="465"/>
      <c r="F14" s="588" t="str">
        <f t="shared" si="0"/>
        <v>----</v>
      </c>
      <c r="G14" s="465"/>
      <c r="H14" s="588" t="str">
        <f t="shared" si="1"/>
        <v>----</v>
      </c>
      <c r="I14" s="497"/>
      <c r="J14" s="126" t="str">
        <f t="shared" si="2"/>
        <v>----</v>
      </c>
    </row>
    <row r="15" spans="1:11">
      <c r="A15" s="123"/>
      <c r="C15" s="125"/>
      <c r="D15" s="496"/>
      <c r="E15" s="466"/>
      <c r="F15" s="588" t="str">
        <f t="shared" si="0"/>
        <v>----</v>
      </c>
      <c r="G15" s="466"/>
      <c r="H15" s="588" t="str">
        <f t="shared" si="1"/>
        <v>----</v>
      </c>
      <c r="I15" s="498"/>
      <c r="J15" s="126" t="str">
        <f t="shared" si="2"/>
        <v>----</v>
      </c>
    </row>
    <row r="16" spans="1:11" ht="15.75" thickBot="1">
      <c r="A16" s="74"/>
      <c r="B16" s="75"/>
      <c r="C16" s="76"/>
      <c r="D16" s="432"/>
      <c r="E16" s="477"/>
      <c r="F16" s="478" t="str">
        <f t="shared" si="0"/>
        <v>----</v>
      </c>
      <c r="G16" s="477"/>
      <c r="H16" s="478" t="str">
        <f t="shared" si="1"/>
        <v>----</v>
      </c>
      <c r="I16" s="483"/>
      <c r="J16" s="77" t="str">
        <f t="shared" si="2"/>
        <v>----</v>
      </c>
    </row>
    <row r="17" spans="1:10" ht="15.75" thickBot="1">
      <c r="A17" s="27"/>
      <c r="B17" s="27"/>
      <c r="C17" s="28"/>
      <c r="D17" s="28"/>
      <c r="E17" s="441"/>
      <c r="F17" s="443">
        <f>SUM(F4:F16)</f>
        <v>65346.349999999977</v>
      </c>
      <c r="G17" s="441"/>
      <c r="H17" s="443">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D16" sqref="D16"/>
    </sheetView>
  </sheetViews>
  <sheetFormatPr defaultRowHeight="15"/>
  <cols>
    <col min="2" max="2" width="22.85546875" bestFit="1" customWidth="1"/>
    <col min="3" max="4" width="10.7109375" bestFit="1" customWidth="1"/>
    <col min="5" max="5" width="10.7109375" style="434" bestFit="1" customWidth="1"/>
    <col min="6" max="6" width="10.85546875" style="434" customWidth="1"/>
    <col min="7" max="7" width="10.7109375" style="434" bestFit="1" customWidth="1"/>
    <col min="8" max="8" width="10.85546875" style="434" customWidth="1"/>
    <col min="9" max="9" width="10.7109375" bestFit="1" customWidth="1"/>
    <col min="10" max="10" width="10.85546875" customWidth="1"/>
  </cols>
  <sheetData>
    <row r="1" spans="1:10" ht="15.75" thickBot="1">
      <c r="A1" s="958" t="s">
        <v>155</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43816</v>
      </c>
      <c r="B4" s="71" t="s">
        <v>166</v>
      </c>
      <c r="C4" s="787">
        <v>211384.46</v>
      </c>
      <c r="D4" s="793">
        <f t="shared" ref="D4:D9" si="0">C4</f>
        <v>211384.46</v>
      </c>
      <c r="E4" s="800">
        <v>210384.36</v>
      </c>
      <c r="F4" s="809">
        <f t="shared" ref="F4:F22" si="1">IF(ISBLANK(E4),"----",E4-D4)</f>
        <v>-1000.1000000000058</v>
      </c>
      <c r="G4" s="800" t="s">
        <v>703</v>
      </c>
      <c r="H4" s="809" t="str">
        <f t="shared" ref="H4:H22" si="2">IF(OR(G4="Complete",ISBLANK(G4)),"----",G4-$D4)</f>
        <v>----</v>
      </c>
      <c r="I4" s="797" t="s">
        <v>703</v>
      </c>
      <c r="J4" s="810" t="str">
        <f t="shared" ref="J4:J22" si="3">IF(OR(I4="Complete",ISBLANK(I4)),"----",I4-$D4)</f>
        <v>----</v>
      </c>
    </row>
    <row r="5" spans="1:10">
      <c r="A5" s="91">
        <v>44033</v>
      </c>
      <c r="B5" s="92" t="s">
        <v>298</v>
      </c>
      <c r="C5" s="788">
        <v>108568.5</v>
      </c>
      <c r="D5" s="803">
        <f t="shared" si="0"/>
        <v>108568.5</v>
      </c>
      <c r="E5" s="805">
        <v>113572.5</v>
      </c>
      <c r="F5" s="813">
        <f t="shared" si="1"/>
        <v>5004</v>
      </c>
      <c r="G5" s="805" t="s">
        <v>703</v>
      </c>
      <c r="H5" s="813" t="str">
        <f t="shared" si="2"/>
        <v>----</v>
      </c>
      <c r="I5" s="804" t="s">
        <v>703</v>
      </c>
      <c r="J5" s="814" t="str">
        <f t="shared" si="3"/>
        <v>----</v>
      </c>
    </row>
    <row r="6" spans="1:10">
      <c r="A6" s="130">
        <v>44089</v>
      </c>
      <c r="B6" s="228" t="s">
        <v>306</v>
      </c>
      <c r="C6" s="824">
        <v>437080.98</v>
      </c>
      <c r="D6" s="825">
        <f t="shared" si="0"/>
        <v>437080.98</v>
      </c>
      <c r="E6" s="826">
        <v>438052.58</v>
      </c>
      <c r="F6" s="668">
        <f t="shared" si="1"/>
        <v>971.60000000003492</v>
      </c>
      <c r="G6" s="826" t="s">
        <v>703</v>
      </c>
      <c r="H6" s="668" t="str">
        <f t="shared" si="2"/>
        <v>----</v>
      </c>
      <c r="I6" s="827" t="s">
        <v>703</v>
      </c>
      <c r="J6" s="669" t="str">
        <f t="shared" si="3"/>
        <v>----</v>
      </c>
    </row>
    <row r="7" spans="1:10">
      <c r="A7" s="102">
        <v>44488</v>
      </c>
      <c r="B7" s="103" t="s">
        <v>462</v>
      </c>
      <c r="C7" s="776">
        <v>246879.7</v>
      </c>
      <c r="D7" s="735">
        <f t="shared" si="0"/>
        <v>246879.7</v>
      </c>
      <c r="E7" s="745">
        <v>257480.68</v>
      </c>
      <c r="F7" s="777">
        <f t="shared" si="1"/>
        <v>10600.979999999981</v>
      </c>
      <c r="G7" s="745" t="s">
        <v>703</v>
      </c>
      <c r="H7" s="777" t="str">
        <f t="shared" si="2"/>
        <v>----</v>
      </c>
      <c r="I7" s="740" t="s">
        <v>703</v>
      </c>
      <c r="J7" s="778" t="str">
        <f t="shared" si="3"/>
        <v>----</v>
      </c>
    </row>
    <row r="8" spans="1:10">
      <c r="A8" s="102">
        <v>44516</v>
      </c>
      <c r="B8" s="103" t="s">
        <v>469</v>
      </c>
      <c r="C8" s="776">
        <v>372376.2</v>
      </c>
      <c r="D8" s="735">
        <f t="shared" si="0"/>
        <v>372376.2</v>
      </c>
      <c r="E8" s="745"/>
      <c r="F8" s="777" t="str">
        <f t="shared" si="1"/>
        <v>----</v>
      </c>
      <c r="G8" s="745">
        <v>419686.28</v>
      </c>
      <c r="H8" s="777">
        <f t="shared" si="2"/>
        <v>47310.080000000016</v>
      </c>
      <c r="I8" s="740" t="s">
        <v>703</v>
      </c>
      <c r="J8" s="778" t="str">
        <f t="shared" si="3"/>
        <v>----</v>
      </c>
    </row>
    <row r="9" spans="1:10">
      <c r="A9" s="102">
        <v>44607</v>
      </c>
      <c r="B9" s="103" t="s">
        <v>507</v>
      </c>
      <c r="C9" s="776">
        <v>455896.06</v>
      </c>
      <c r="D9" s="735">
        <f t="shared" si="0"/>
        <v>455896.06</v>
      </c>
      <c r="E9" s="745">
        <v>487548.85</v>
      </c>
      <c r="F9" s="777">
        <f t="shared" si="1"/>
        <v>31652.789999999979</v>
      </c>
      <c r="G9" s="745" t="s">
        <v>703</v>
      </c>
      <c r="H9" s="777" t="str">
        <f t="shared" si="2"/>
        <v>----</v>
      </c>
      <c r="I9" s="740" t="s">
        <v>703</v>
      </c>
      <c r="J9" s="778" t="str">
        <f t="shared" si="3"/>
        <v>----</v>
      </c>
    </row>
    <row r="10" spans="1:10">
      <c r="A10" s="102">
        <v>44880</v>
      </c>
      <c r="B10" s="103" t="s">
        <v>597</v>
      </c>
      <c r="C10" s="776">
        <v>246472.51</v>
      </c>
      <c r="D10" s="735">
        <f t="shared" ref="D10:D15" si="4">C10</f>
        <v>246472.51</v>
      </c>
      <c r="E10" s="745"/>
      <c r="F10" s="777" t="str">
        <f t="shared" si="1"/>
        <v>----</v>
      </c>
      <c r="G10" s="745">
        <v>242783.91</v>
      </c>
      <c r="H10" s="777">
        <f t="shared" si="2"/>
        <v>-3688.6000000000058</v>
      </c>
      <c r="I10" s="740" t="s">
        <v>703</v>
      </c>
      <c r="J10" s="778" t="str">
        <f t="shared" si="3"/>
        <v>----</v>
      </c>
    </row>
    <row r="11" spans="1:10">
      <c r="A11" s="102">
        <v>45097</v>
      </c>
      <c r="B11" s="103" t="s">
        <v>653</v>
      </c>
      <c r="C11" s="776">
        <v>163770.54999999999</v>
      </c>
      <c r="D11" s="735">
        <f t="shared" si="4"/>
        <v>163770.54999999999</v>
      </c>
      <c r="E11" s="745"/>
      <c r="F11" s="777" t="str">
        <f t="shared" si="1"/>
        <v>----</v>
      </c>
      <c r="G11" s="745">
        <v>165031.85999999999</v>
      </c>
      <c r="H11" s="777">
        <f t="shared" si="2"/>
        <v>1261.3099999999977</v>
      </c>
      <c r="I11" s="740" t="s">
        <v>703</v>
      </c>
      <c r="J11" s="778" t="str">
        <f t="shared" si="3"/>
        <v>----</v>
      </c>
    </row>
    <row r="12" spans="1:10">
      <c r="A12" s="397">
        <v>45251</v>
      </c>
      <c r="B12" s="398" t="s">
        <v>677</v>
      </c>
      <c r="C12" s="776">
        <v>387873.68</v>
      </c>
      <c r="D12" s="735">
        <f t="shared" si="4"/>
        <v>387873.68</v>
      </c>
      <c r="E12" s="745"/>
      <c r="F12" s="777" t="str">
        <f t="shared" si="1"/>
        <v>----</v>
      </c>
      <c r="G12" s="745"/>
      <c r="H12" s="777" t="str">
        <f t="shared" si="2"/>
        <v>----</v>
      </c>
      <c r="I12" s="740"/>
      <c r="J12" s="778" t="str">
        <f t="shared" si="3"/>
        <v>----</v>
      </c>
    </row>
    <row r="13" spans="1:10">
      <c r="A13" s="102">
        <v>45308</v>
      </c>
      <c r="B13" s="103" t="s">
        <v>710</v>
      </c>
      <c r="C13" s="776">
        <v>297403.71999999997</v>
      </c>
      <c r="D13" s="735">
        <f t="shared" si="4"/>
        <v>297403.71999999997</v>
      </c>
      <c r="E13" s="745"/>
      <c r="F13" s="777" t="str">
        <f t="shared" si="1"/>
        <v>----</v>
      </c>
      <c r="G13" s="745"/>
      <c r="H13" s="777" t="str">
        <f t="shared" si="2"/>
        <v>----</v>
      </c>
      <c r="I13" s="740"/>
      <c r="J13" s="778" t="str">
        <f t="shared" si="3"/>
        <v>----</v>
      </c>
    </row>
    <row r="14" spans="1:10">
      <c r="A14" s="102">
        <v>45706</v>
      </c>
      <c r="B14" s="727" t="s">
        <v>847</v>
      </c>
      <c r="C14" s="776">
        <v>562681.78</v>
      </c>
      <c r="D14" s="735">
        <f t="shared" si="4"/>
        <v>562681.78</v>
      </c>
      <c r="E14" s="745"/>
      <c r="F14" s="777" t="str">
        <f t="shared" si="1"/>
        <v>----</v>
      </c>
      <c r="G14" s="745"/>
      <c r="H14" s="777" t="str">
        <f t="shared" si="2"/>
        <v>----</v>
      </c>
      <c r="I14" s="740"/>
      <c r="J14" s="778" t="str">
        <f t="shared" si="3"/>
        <v>----</v>
      </c>
    </row>
    <row r="15" spans="1:10">
      <c r="A15" s="102">
        <v>45888</v>
      </c>
      <c r="B15" s="727" t="s">
        <v>896</v>
      </c>
      <c r="C15" s="776">
        <v>2297799.39</v>
      </c>
      <c r="D15" s="735">
        <f t="shared" si="4"/>
        <v>2297799.39</v>
      </c>
      <c r="E15" s="745"/>
      <c r="F15" s="777" t="str">
        <f t="shared" si="1"/>
        <v>----</v>
      </c>
      <c r="G15" s="745"/>
      <c r="H15" s="777" t="str">
        <f t="shared" si="2"/>
        <v>----</v>
      </c>
      <c r="I15" s="740"/>
      <c r="J15" s="778" t="str">
        <f t="shared" si="3"/>
        <v>----</v>
      </c>
    </row>
    <row r="16" spans="1:10">
      <c r="A16" s="102"/>
      <c r="B16" s="103"/>
      <c r="C16" s="776"/>
      <c r="D16" s="735"/>
      <c r="E16" s="745"/>
      <c r="F16" s="777" t="str">
        <f t="shared" si="1"/>
        <v>----</v>
      </c>
      <c r="G16" s="745"/>
      <c r="H16" s="777" t="str">
        <f t="shared" si="2"/>
        <v>----</v>
      </c>
      <c r="I16" s="740"/>
      <c r="J16" s="778" t="str">
        <f t="shared" si="3"/>
        <v>----</v>
      </c>
    </row>
    <row r="17" spans="1:10">
      <c r="A17" s="102"/>
      <c r="B17" s="103"/>
      <c r="C17" s="776"/>
      <c r="D17" s="735"/>
      <c r="E17" s="745"/>
      <c r="F17" s="777" t="str">
        <f t="shared" si="1"/>
        <v>----</v>
      </c>
      <c r="G17" s="745"/>
      <c r="H17" s="777" t="str">
        <f t="shared" si="2"/>
        <v>----</v>
      </c>
      <c r="I17" s="740"/>
      <c r="J17" s="778" t="str">
        <f t="shared" si="3"/>
        <v>----</v>
      </c>
    </row>
    <row r="18" spans="1:10">
      <c r="A18" s="102"/>
      <c r="B18" s="103"/>
      <c r="C18" s="776"/>
      <c r="D18" s="735"/>
      <c r="E18" s="745"/>
      <c r="F18" s="777" t="str">
        <f t="shared" si="1"/>
        <v>----</v>
      </c>
      <c r="G18" s="745"/>
      <c r="H18" s="777" t="str">
        <f t="shared" si="2"/>
        <v>----</v>
      </c>
      <c r="I18" s="740"/>
      <c r="J18" s="778" t="str">
        <f t="shared" si="3"/>
        <v>----</v>
      </c>
    </row>
    <row r="19" spans="1:10">
      <c r="A19" s="102"/>
      <c r="B19" s="103"/>
      <c r="C19" s="776"/>
      <c r="D19" s="735"/>
      <c r="E19" s="745"/>
      <c r="F19" s="777" t="str">
        <f t="shared" si="1"/>
        <v>----</v>
      </c>
      <c r="G19" s="745"/>
      <c r="H19" s="777" t="str">
        <f t="shared" si="2"/>
        <v>----</v>
      </c>
      <c r="I19" s="740"/>
      <c r="J19" s="778" t="str">
        <f t="shared" si="3"/>
        <v>----</v>
      </c>
    </row>
    <row r="20" spans="1:10">
      <c r="A20" s="102"/>
      <c r="B20" s="103"/>
      <c r="C20" s="776"/>
      <c r="D20" s="735"/>
      <c r="E20" s="745"/>
      <c r="F20" s="777" t="str">
        <f t="shared" si="1"/>
        <v>----</v>
      </c>
      <c r="G20" s="745"/>
      <c r="H20" s="777" t="str">
        <f t="shared" si="2"/>
        <v>----</v>
      </c>
      <c r="I20" s="740"/>
      <c r="J20" s="778" t="str">
        <f t="shared" si="3"/>
        <v>----</v>
      </c>
    </row>
    <row r="21" spans="1:10">
      <c r="A21" s="116"/>
      <c r="B21" s="117"/>
      <c r="C21" s="779"/>
      <c r="D21" s="795"/>
      <c r="E21" s="746"/>
      <c r="F21" s="780" t="str">
        <f t="shared" si="1"/>
        <v>----</v>
      </c>
      <c r="G21" s="746"/>
      <c r="H21" s="780" t="str">
        <f t="shared" si="2"/>
        <v>----</v>
      </c>
      <c r="I21" s="741"/>
      <c r="J21" s="781" t="str">
        <f t="shared" si="3"/>
        <v>----</v>
      </c>
    </row>
    <row r="22" spans="1:10" ht="15.75" thickBot="1">
      <c r="A22" s="74"/>
      <c r="B22" s="75"/>
      <c r="C22" s="789"/>
      <c r="D22" s="796"/>
      <c r="E22" s="802"/>
      <c r="F22" s="807" t="str">
        <f t="shared" si="1"/>
        <v>----</v>
      </c>
      <c r="G22" s="802"/>
      <c r="H22" s="807" t="str">
        <f t="shared" si="2"/>
        <v>----</v>
      </c>
      <c r="I22" s="799"/>
      <c r="J22" s="808" t="str">
        <f t="shared" si="3"/>
        <v>----</v>
      </c>
    </row>
    <row r="23" spans="1:10" ht="15.75" thickBot="1">
      <c r="A23" s="27"/>
      <c r="B23" s="27"/>
      <c r="C23" s="820"/>
      <c r="D23" s="820"/>
      <c r="E23" s="820"/>
      <c r="F23" s="821">
        <f>SUM(F4:F22)</f>
        <v>47229.26999999999</v>
      </c>
      <c r="G23" s="820"/>
      <c r="H23" s="821">
        <f>SUM(H4:H22)</f>
        <v>44882.790000000008</v>
      </c>
      <c r="I23" s="820"/>
      <c r="J23" s="821">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4" bestFit="1" customWidth="1"/>
    <col min="6" max="6" width="13.140625" style="434" customWidth="1"/>
    <col min="7" max="7" width="10.7109375" style="434" bestFit="1" customWidth="1"/>
    <col min="8" max="8" width="13.140625" style="434" customWidth="1"/>
    <col min="9" max="9" width="10.7109375" bestFit="1" customWidth="1"/>
    <col min="10" max="10" width="13.140625" customWidth="1"/>
  </cols>
  <sheetData>
    <row r="1" spans="1:11" ht="15.75" thickBot="1">
      <c r="A1" s="958" t="s">
        <v>234</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43942</v>
      </c>
      <c r="B4" s="71" t="s">
        <v>237</v>
      </c>
      <c r="C4" s="72">
        <v>544795.73</v>
      </c>
      <c r="D4" s="431">
        <v>353625.73</v>
      </c>
      <c r="E4" s="471">
        <v>384267.16</v>
      </c>
      <c r="F4" s="472">
        <f t="shared" ref="F4:F17" si="0">IF(ISBLANK(E4),"----",E4-D4)</f>
        <v>30641.429999999993</v>
      </c>
      <c r="G4" s="471" t="s">
        <v>703</v>
      </c>
      <c r="H4" s="472" t="str">
        <f t="shared" ref="H4:H17" si="1">IF(OR(G4="Complete",ISBLANK(G4)),"----",G4-$D4)</f>
        <v>----</v>
      </c>
      <c r="I4" s="481" t="s">
        <v>703</v>
      </c>
      <c r="J4" s="73" t="str">
        <f t="shared" ref="J4:J17" si="2">IF(OR(I4="Complete",ISBLANK(I4)),"----",I4-$D4)</f>
        <v>----</v>
      </c>
      <c r="K4" t="s">
        <v>220</v>
      </c>
    </row>
    <row r="5" spans="1:11">
      <c r="A5" s="91">
        <v>43942</v>
      </c>
      <c r="B5" s="92" t="s">
        <v>238</v>
      </c>
      <c r="C5" s="84">
        <v>442371.11</v>
      </c>
      <c r="D5" s="479">
        <v>230367.62</v>
      </c>
      <c r="E5" s="484">
        <v>241534.22</v>
      </c>
      <c r="F5" s="523">
        <f t="shared" si="0"/>
        <v>11166.600000000006</v>
      </c>
      <c r="G5" s="484" t="s">
        <v>703</v>
      </c>
      <c r="H5" s="523" t="str">
        <f t="shared" si="1"/>
        <v>----</v>
      </c>
      <c r="I5" s="482" t="s">
        <v>703</v>
      </c>
      <c r="J5" s="140" t="str">
        <f t="shared" si="2"/>
        <v>----</v>
      </c>
      <c r="K5" t="s">
        <v>220</v>
      </c>
    </row>
    <row r="6" spans="1:11">
      <c r="A6" s="976">
        <v>44089</v>
      </c>
      <c r="B6" s="103" t="s">
        <v>579</v>
      </c>
      <c r="C6" s="87">
        <v>635224.61</v>
      </c>
      <c r="D6" s="468">
        <v>389434.61</v>
      </c>
      <c r="E6" s="475">
        <v>391016.05</v>
      </c>
      <c r="F6" s="523">
        <f t="shared" si="0"/>
        <v>1581.4400000000023</v>
      </c>
      <c r="G6" s="475" t="s">
        <v>703</v>
      </c>
      <c r="H6" s="523" t="str">
        <f t="shared" si="1"/>
        <v>----</v>
      </c>
      <c r="I6" s="488" t="s">
        <v>703</v>
      </c>
      <c r="J6" s="140" t="str">
        <f t="shared" si="2"/>
        <v>----</v>
      </c>
      <c r="K6" t="s">
        <v>220</v>
      </c>
    </row>
    <row r="7" spans="1:11">
      <c r="A7" s="978"/>
      <c r="B7" s="103" t="s">
        <v>580</v>
      </c>
      <c r="C7" s="87">
        <v>474197.12</v>
      </c>
      <c r="D7" s="468">
        <v>290141.02</v>
      </c>
      <c r="E7" s="475">
        <v>283181.40999999997</v>
      </c>
      <c r="F7" s="523">
        <f t="shared" si="0"/>
        <v>-6959.6100000000442</v>
      </c>
      <c r="G7" s="475" t="s">
        <v>703</v>
      </c>
      <c r="H7" s="523" t="str">
        <f t="shared" si="1"/>
        <v>----</v>
      </c>
      <c r="I7" s="488" t="s">
        <v>703</v>
      </c>
      <c r="J7" s="140" t="str">
        <f t="shared" si="2"/>
        <v>----</v>
      </c>
      <c r="K7" t="s">
        <v>220</v>
      </c>
    </row>
    <row r="8" spans="1:11">
      <c r="A8" s="102">
        <v>45308</v>
      </c>
      <c r="B8" s="103" t="s">
        <v>715</v>
      </c>
      <c r="C8" s="87">
        <f>2961328.63-1/2*(2961328.63-500000-1500000)</f>
        <v>2480664.3149999999</v>
      </c>
      <c r="D8" s="468">
        <f>(2961328.63-500000-1500000)*1/2</f>
        <v>480664.31499999994</v>
      </c>
      <c r="E8" s="475"/>
      <c r="F8" s="523" t="str">
        <f t="shared" si="0"/>
        <v>----</v>
      </c>
      <c r="G8" s="475"/>
      <c r="H8" s="523" t="str">
        <f t="shared" si="1"/>
        <v>----</v>
      </c>
      <c r="I8" s="488"/>
      <c r="J8" s="140" t="str">
        <f t="shared" si="2"/>
        <v>----</v>
      </c>
      <c r="K8" t="s">
        <v>722</v>
      </c>
    </row>
    <row r="9" spans="1:11">
      <c r="A9" s="102"/>
      <c r="B9" s="103"/>
      <c r="C9" s="87"/>
      <c r="D9" s="468"/>
      <c r="E9" s="475"/>
      <c r="F9" s="523" t="str">
        <f t="shared" si="0"/>
        <v>----</v>
      </c>
      <c r="G9" s="475"/>
      <c r="H9" s="523" t="str">
        <f t="shared" si="1"/>
        <v>----</v>
      </c>
      <c r="I9" s="488"/>
      <c r="J9" s="140" t="str">
        <f t="shared" si="2"/>
        <v>----</v>
      </c>
    </row>
    <row r="10" spans="1:11">
      <c r="A10" s="102"/>
      <c r="B10" s="103"/>
      <c r="C10" s="87"/>
      <c r="D10" s="468"/>
      <c r="E10" s="475"/>
      <c r="F10" s="523" t="str">
        <f t="shared" si="0"/>
        <v>----</v>
      </c>
      <c r="G10" s="475"/>
      <c r="H10" s="523" t="str">
        <f t="shared" si="1"/>
        <v>----</v>
      </c>
      <c r="I10" s="488"/>
      <c r="J10" s="140" t="str">
        <f t="shared" si="2"/>
        <v>----</v>
      </c>
    </row>
    <row r="11" spans="1:11">
      <c r="A11" s="102"/>
      <c r="B11" s="103"/>
      <c r="C11" s="87"/>
      <c r="D11" s="468"/>
      <c r="E11" s="475"/>
      <c r="F11" s="523" t="str">
        <f t="shared" si="0"/>
        <v>----</v>
      </c>
      <c r="G11" s="475"/>
      <c r="H11" s="523" t="str">
        <f t="shared" si="1"/>
        <v>----</v>
      </c>
      <c r="I11" s="488"/>
      <c r="J11" s="140" t="str">
        <f t="shared" si="2"/>
        <v>----</v>
      </c>
    </row>
    <row r="12" spans="1:11">
      <c r="A12" s="102"/>
      <c r="B12" s="103"/>
      <c r="C12" s="87"/>
      <c r="D12" s="468"/>
      <c r="E12" s="475"/>
      <c r="F12" s="523" t="str">
        <f t="shared" si="0"/>
        <v>----</v>
      </c>
      <c r="G12" s="475"/>
      <c r="H12" s="523" t="str">
        <f t="shared" si="1"/>
        <v>----</v>
      </c>
      <c r="I12" s="488"/>
      <c r="J12" s="140" t="str">
        <f t="shared" si="2"/>
        <v>----</v>
      </c>
    </row>
    <row r="13" spans="1:11">
      <c r="A13" s="102"/>
      <c r="B13" s="103"/>
      <c r="C13" s="87"/>
      <c r="D13" s="468"/>
      <c r="E13" s="475"/>
      <c r="F13" s="523" t="str">
        <f t="shared" si="0"/>
        <v>----</v>
      </c>
      <c r="G13" s="475"/>
      <c r="H13" s="523" t="str">
        <f t="shared" si="1"/>
        <v>----</v>
      </c>
      <c r="I13" s="488"/>
      <c r="J13" s="140" t="str">
        <f t="shared" si="2"/>
        <v>----</v>
      </c>
    </row>
    <row r="14" spans="1:11">
      <c r="A14" s="102"/>
      <c r="B14" s="103"/>
      <c r="C14" s="87"/>
      <c r="D14" s="468"/>
      <c r="E14" s="475"/>
      <c r="F14" s="523" t="str">
        <f t="shared" si="0"/>
        <v>----</v>
      </c>
      <c r="G14" s="475"/>
      <c r="H14" s="523" t="str">
        <f t="shared" si="1"/>
        <v>----</v>
      </c>
      <c r="I14" s="488"/>
      <c r="J14" s="140" t="str">
        <f t="shared" si="2"/>
        <v>----</v>
      </c>
    </row>
    <row r="15" spans="1:11">
      <c r="A15" s="102"/>
      <c r="B15" s="103"/>
      <c r="C15" s="87"/>
      <c r="D15" s="468"/>
      <c r="E15" s="475"/>
      <c r="F15" s="523" t="str">
        <f t="shared" si="0"/>
        <v>----</v>
      </c>
      <c r="G15" s="475"/>
      <c r="H15" s="523" t="str">
        <f t="shared" si="1"/>
        <v>----</v>
      </c>
      <c r="I15" s="488"/>
      <c r="J15" s="140" t="str">
        <f t="shared" si="2"/>
        <v>----</v>
      </c>
    </row>
    <row r="16" spans="1:11">
      <c r="A16" s="116"/>
      <c r="B16" s="117"/>
      <c r="C16" s="118"/>
      <c r="D16" s="469"/>
      <c r="E16" s="476"/>
      <c r="F16" s="523" t="str">
        <f t="shared" si="0"/>
        <v>----</v>
      </c>
      <c r="G16" s="476"/>
      <c r="H16" s="523" t="str">
        <f t="shared" si="1"/>
        <v>----</v>
      </c>
      <c r="I16" s="490"/>
      <c r="J16" s="140" t="str">
        <f t="shared" si="2"/>
        <v>----</v>
      </c>
    </row>
    <row r="17" spans="1:10" ht="15.75" thickBot="1">
      <c r="A17" s="74"/>
      <c r="B17" s="75"/>
      <c r="C17" s="76"/>
      <c r="D17" s="432"/>
      <c r="E17" s="477"/>
      <c r="F17" s="478" t="str">
        <f t="shared" si="0"/>
        <v>----</v>
      </c>
      <c r="G17" s="477"/>
      <c r="H17" s="478" t="str">
        <f t="shared" si="1"/>
        <v>----</v>
      </c>
      <c r="I17" s="483"/>
      <c r="J17" s="77" t="str">
        <f t="shared" si="2"/>
        <v>----</v>
      </c>
    </row>
    <row r="18" spans="1:10" ht="15.75" thickBot="1">
      <c r="A18" s="27"/>
      <c r="B18" s="27"/>
      <c r="C18" s="28"/>
      <c r="D18" s="28"/>
      <c r="E18" s="441"/>
      <c r="F18" s="443">
        <f>SUM(F4:F17)</f>
        <v>36429.859999999957</v>
      </c>
      <c r="G18" s="441"/>
      <c r="H18" s="443">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8" t="s">
        <v>127</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43970</v>
      </c>
      <c r="B4" s="71" t="s">
        <v>117</v>
      </c>
      <c r="C4" s="72">
        <v>481614.8</v>
      </c>
      <c r="D4" s="431">
        <v>290444.79999999999</v>
      </c>
      <c r="E4" s="471">
        <v>293377.2</v>
      </c>
      <c r="F4" s="472">
        <f>IF(ISBLANK(E4),"----",E4-D4)</f>
        <v>2932.4000000000233</v>
      </c>
      <c r="G4" s="471" t="s">
        <v>703</v>
      </c>
      <c r="H4" s="472" t="str">
        <f>IF(OR(G4="Complete",ISBLANK(G4)),"----",G4-$D4)</f>
        <v>----</v>
      </c>
      <c r="I4" s="481" t="s">
        <v>703</v>
      </c>
      <c r="J4" s="73" t="str">
        <f>IF(OR(I4="Complete",ISBLANK(I4)),"----",I4-$D4)</f>
        <v>----</v>
      </c>
    </row>
    <row r="5" spans="1:10">
      <c r="A5" s="88">
        <v>43970</v>
      </c>
      <c r="B5" s="81" t="s">
        <v>118</v>
      </c>
      <c r="C5" s="82">
        <v>228175.5</v>
      </c>
      <c r="D5" s="433">
        <v>118935.5</v>
      </c>
      <c r="E5" s="473">
        <v>127172.93</v>
      </c>
      <c r="F5" s="474">
        <f>IF(ISBLANK(E5),"----",E5-D5)</f>
        <v>8237.429999999993</v>
      </c>
      <c r="G5" s="473" t="s">
        <v>703</v>
      </c>
      <c r="H5" s="474" t="str">
        <f>IF(OR(G5="Complete",ISBLANK(G5)),"----",G5-$D5)</f>
        <v>----</v>
      </c>
      <c r="I5" s="486" t="s">
        <v>703</v>
      </c>
      <c r="J5" s="83" t="str">
        <f>IF(OR(I5="Complete",ISBLANK(I5)),"----",I5-$D5)</f>
        <v>----</v>
      </c>
    </row>
    <row r="6" spans="1:10" s="434" customFormat="1">
      <c r="A6" s="89"/>
      <c r="B6" s="86"/>
      <c r="C6" s="448"/>
      <c r="D6" s="468"/>
      <c r="E6" s="475"/>
      <c r="F6" s="474" t="str">
        <f t="shared" ref="F6:F10" si="0">IF(ISBLANK(E6),"----",E6-D6)</f>
        <v>----</v>
      </c>
      <c r="G6" s="475"/>
      <c r="H6" s="474" t="str">
        <f t="shared" ref="H6:J10" si="1">IF(OR(G6="Complete",ISBLANK(G6)),"----",G6-$D6)</f>
        <v>----</v>
      </c>
      <c r="I6" s="488"/>
      <c r="J6" s="447" t="str">
        <f t="shared" si="1"/>
        <v>----</v>
      </c>
    </row>
    <row r="7" spans="1:10" s="434" customFormat="1">
      <c r="A7" s="89"/>
      <c r="B7" s="86"/>
      <c r="C7" s="448"/>
      <c r="D7" s="468"/>
      <c r="E7" s="475"/>
      <c r="F7" s="474" t="str">
        <f t="shared" si="0"/>
        <v>----</v>
      </c>
      <c r="G7" s="475"/>
      <c r="H7" s="474" t="str">
        <f t="shared" si="1"/>
        <v>----</v>
      </c>
      <c r="I7" s="488"/>
      <c r="J7" s="447" t="str">
        <f t="shared" si="1"/>
        <v>----</v>
      </c>
    </row>
    <row r="8" spans="1:10" s="434" customFormat="1">
      <c r="A8" s="89"/>
      <c r="B8" s="86"/>
      <c r="C8" s="448"/>
      <c r="D8" s="468"/>
      <c r="E8" s="475"/>
      <c r="F8" s="474" t="str">
        <f t="shared" si="0"/>
        <v>----</v>
      </c>
      <c r="G8" s="475"/>
      <c r="H8" s="474" t="str">
        <f t="shared" si="1"/>
        <v>----</v>
      </c>
      <c r="I8" s="488"/>
      <c r="J8" s="447" t="str">
        <f t="shared" si="1"/>
        <v>----</v>
      </c>
    </row>
    <row r="9" spans="1:10" s="434" customFormat="1">
      <c r="A9" s="89"/>
      <c r="B9" s="86"/>
      <c r="C9" s="448"/>
      <c r="D9" s="468"/>
      <c r="E9" s="475"/>
      <c r="F9" s="474" t="str">
        <f t="shared" si="0"/>
        <v>----</v>
      </c>
      <c r="G9" s="475"/>
      <c r="H9" s="474" t="str">
        <f t="shared" si="1"/>
        <v>----</v>
      </c>
      <c r="I9" s="488"/>
      <c r="J9" s="447" t="str">
        <f t="shared" si="1"/>
        <v>----</v>
      </c>
    </row>
    <row r="10" spans="1:10" s="434" customFormat="1">
      <c r="A10" s="89"/>
      <c r="B10" s="86"/>
      <c r="C10" s="448"/>
      <c r="D10" s="468"/>
      <c r="E10" s="475"/>
      <c r="F10" s="474" t="str">
        <f t="shared" si="0"/>
        <v>----</v>
      </c>
      <c r="G10" s="475"/>
      <c r="H10" s="474" t="str">
        <f t="shared" si="1"/>
        <v>----</v>
      </c>
      <c r="I10" s="488"/>
      <c r="J10" s="447" t="str">
        <f t="shared" si="1"/>
        <v>----</v>
      </c>
    </row>
    <row r="11" spans="1:10">
      <c r="A11" s="89"/>
      <c r="B11" s="86"/>
      <c r="C11" s="87"/>
      <c r="D11" s="468"/>
      <c r="E11" s="475"/>
      <c r="F11" s="474" t="str">
        <f>IF(ISBLANK(E11),"----",E11-D11)</f>
        <v>----</v>
      </c>
      <c r="G11" s="475"/>
      <c r="H11" s="474" t="str">
        <f>IF(OR(G11="Complete",ISBLANK(G11)),"----",G11-$D11)</f>
        <v>----</v>
      </c>
      <c r="I11" s="488"/>
      <c r="J11" s="83" t="str">
        <f>IF(OR(I11="Complete",ISBLANK(I11)),"----",I11-$D11)</f>
        <v>----</v>
      </c>
    </row>
    <row r="12" spans="1:10" ht="15.75" thickBot="1">
      <c r="A12" s="90"/>
      <c r="B12" s="78"/>
      <c r="C12" s="79"/>
      <c r="D12" s="548"/>
      <c r="E12" s="550"/>
      <c r="F12" s="551" t="str">
        <f>IF(ISBLANK(E12),"----",E12-D12)</f>
        <v>----</v>
      </c>
      <c r="G12" s="550"/>
      <c r="H12" s="551" t="str">
        <f>IF(OR(G12="Complete",ISBLANK(G12)),"----",G12-$D12)</f>
        <v>----</v>
      </c>
      <c r="I12" s="549"/>
      <c r="J12" s="80" t="str">
        <f>IF(OR(I12="Complete",ISBLANK(I12)),"----",I12-$D12)</f>
        <v>----</v>
      </c>
    </row>
    <row r="13" spans="1:10" ht="15.75" thickBot="1">
      <c r="A13" s="27"/>
      <c r="B13" s="27"/>
      <c r="C13" s="28"/>
      <c r="D13" s="28"/>
      <c r="E13" s="441"/>
      <c r="F13" s="443">
        <f>SUM(F4:F12)</f>
        <v>11169.830000000016</v>
      </c>
      <c r="G13" s="441"/>
      <c r="H13" s="443">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4"/>
  </cols>
  <sheetData>
    <row r="1" spans="1:11" ht="15.75" thickBot="1">
      <c r="A1" s="958" t="s">
        <v>282</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69" thickBot="1">
      <c r="A3" s="966"/>
      <c r="B3" s="968"/>
      <c r="C3" s="968"/>
      <c r="D3" s="980"/>
      <c r="E3" s="462" t="s">
        <v>121</v>
      </c>
      <c r="F3" s="470" t="s">
        <v>113</v>
      </c>
      <c r="G3" s="462" t="s">
        <v>121</v>
      </c>
      <c r="H3" s="470" t="s">
        <v>113</v>
      </c>
      <c r="I3" s="480" t="s">
        <v>121</v>
      </c>
      <c r="J3" s="25" t="s">
        <v>113</v>
      </c>
    </row>
    <row r="4" spans="1:11">
      <c r="A4" s="70">
        <v>44124</v>
      </c>
      <c r="B4" s="71" t="s">
        <v>318</v>
      </c>
      <c r="C4" s="72">
        <v>557533</v>
      </c>
      <c r="D4" s="431">
        <v>202503</v>
      </c>
      <c r="E4" s="471"/>
      <c r="F4" s="472" t="str">
        <f t="shared" ref="F4:F20" si="0">IF(ISBLANK(E4),"----",E4-D4)</f>
        <v>----</v>
      </c>
      <c r="G4" s="471"/>
      <c r="H4" s="472" t="str">
        <f t="shared" ref="H4:H20" si="1">IF(OR(G4="Complete",ISBLANK(G4)),"----",G4-$D4)</f>
        <v>----</v>
      </c>
      <c r="I4" s="481"/>
      <c r="J4" s="73" t="str">
        <f t="shared" ref="J4:J20" si="2">IF(OR(I4="Complete",ISBLANK(I4)),"----",I4-$D4)</f>
        <v>----</v>
      </c>
    </row>
    <row r="5" spans="1:11">
      <c r="A5" s="88">
        <v>44124</v>
      </c>
      <c r="B5" s="101" t="s">
        <v>319</v>
      </c>
      <c r="C5" s="82">
        <v>305110.7</v>
      </c>
      <c r="D5" s="433">
        <v>124864.7</v>
      </c>
      <c r="E5" s="473"/>
      <c r="F5" s="474" t="str">
        <f t="shared" si="0"/>
        <v>----</v>
      </c>
      <c r="G5" s="473"/>
      <c r="H5" s="474" t="str">
        <f t="shared" si="1"/>
        <v>----</v>
      </c>
      <c r="I5" s="486"/>
      <c r="J5" s="83" t="str">
        <f t="shared" si="2"/>
        <v>----</v>
      </c>
    </row>
    <row r="6" spans="1:11">
      <c r="A6" s="116">
        <v>44824</v>
      </c>
      <c r="B6" s="117" t="s">
        <v>567</v>
      </c>
      <c r="C6" s="118">
        <v>5426828.7999999998</v>
      </c>
      <c r="D6" s="469">
        <v>3290000</v>
      </c>
      <c r="E6" s="476"/>
      <c r="F6" s="489" t="str">
        <f t="shared" si="0"/>
        <v>----</v>
      </c>
      <c r="G6" s="476"/>
      <c r="H6" s="489" t="str">
        <f t="shared" si="1"/>
        <v>----</v>
      </c>
      <c r="I6" s="490"/>
      <c r="J6" s="119" t="str">
        <f t="shared" si="2"/>
        <v>----</v>
      </c>
      <c r="K6" t="s">
        <v>568</v>
      </c>
    </row>
    <row r="7" spans="1:11">
      <c r="A7" s="116"/>
      <c r="B7" s="117"/>
      <c r="C7" s="118"/>
      <c r="D7" s="469"/>
      <c r="E7" s="476"/>
      <c r="F7" s="489" t="str">
        <f t="shared" si="0"/>
        <v>----</v>
      </c>
      <c r="G7" s="476"/>
      <c r="H7" s="489" t="str">
        <f t="shared" si="1"/>
        <v>----</v>
      </c>
      <c r="I7" s="490"/>
      <c r="J7" s="119" t="str">
        <f t="shared" si="2"/>
        <v>----</v>
      </c>
    </row>
    <row r="8" spans="1:11">
      <c r="A8" s="116"/>
      <c r="B8" s="117"/>
      <c r="C8" s="118"/>
      <c r="D8" s="469"/>
      <c r="E8" s="476"/>
      <c r="F8" s="489" t="str">
        <f t="shared" si="0"/>
        <v>----</v>
      </c>
      <c r="G8" s="476"/>
      <c r="H8" s="489" t="str">
        <f t="shared" si="1"/>
        <v>----</v>
      </c>
      <c r="I8" s="490"/>
      <c r="J8" s="119" t="str">
        <f t="shared" si="2"/>
        <v>----</v>
      </c>
    </row>
    <row r="9" spans="1:11">
      <c r="A9" s="116"/>
      <c r="B9" s="117"/>
      <c r="C9" s="118"/>
      <c r="D9" s="469"/>
      <c r="E9" s="476"/>
      <c r="F9" s="489" t="str">
        <f t="shared" si="0"/>
        <v>----</v>
      </c>
      <c r="G9" s="476"/>
      <c r="H9" s="489" t="str">
        <f t="shared" si="1"/>
        <v>----</v>
      </c>
      <c r="I9" s="490"/>
      <c r="J9" s="119" t="str">
        <f t="shared" si="2"/>
        <v>----</v>
      </c>
    </row>
    <row r="10" spans="1:11">
      <c r="A10" s="116"/>
      <c r="B10" s="117"/>
      <c r="C10" s="118"/>
      <c r="D10" s="469"/>
      <c r="E10" s="476"/>
      <c r="F10" s="489" t="str">
        <f t="shared" si="0"/>
        <v>----</v>
      </c>
      <c r="G10" s="476"/>
      <c r="H10" s="489" t="str">
        <f t="shared" si="1"/>
        <v>----</v>
      </c>
      <c r="I10" s="490"/>
      <c r="J10" s="119" t="str">
        <f t="shared" si="2"/>
        <v>----</v>
      </c>
    </row>
    <row r="11" spans="1:11">
      <c r="A11" s="116"/>
      <c r="B11" s="117"/>
      <c r="C11" s="118"/>
      <c r="D11" s="469"/>
      <c r="E11" s="476"/>
      <c r="F11" s="489" t="str">
        <f t="shared" si="0"/>
        <v>----</v>
      </c>
      <c r="G11" s="476"/>
      <c r="H11" s="489" t="str">
        <f t="shared" si="1"/>
        <v>----</v>
      </c>
      <c r="I11" s="490"/>
      <c r="J11" s="119" t="str">
        <f t="shared" si="2"/>
        <v>----</v>
      </c>
    </row>
    <row r="12" spans="1:11">
      <c r="A12" s="116"/>
      <c r="B12" s="117"/>
      <c r="C12" s="118"/>
      <c r="D12" s="469"/>
      <c r="E12" s="476"/>
      <c r="F12" s="489" t="str">
        <f t="shared" si="0"/>
        <v>----</v>
      </c>
      <c r="G12" s="476"/>
      <c r="H12" s="489" t="str">
        <f t="shared" si="1"/>
        <v>----</v>
      </c>
      <c r="I12" s="490"/>
      <c r="J12" s="119" t="str">
        <f t="shared" si="2"/>
        <v>----</v>
      </c>
    </row>
    <row r="13" spans="1:11">
      <c r="A13" s="116"/>
      <c r="B13" s="117"/>
      <c r="C13" s="118"/>
      <c r="D13" s="469"/>
      <c r="E13" s="476"/>
      <c r="F13" s="489" t="str">
        <f t="shared" si="0"/>
        <v>----</v>
      </c>
      <c r="G13" s="476"/>
      <c r="H13" s="489" t="str">
        <f t="shared" si="1"/>
        <v>----</v>
      </c>
      <c r="I13" s="490"/>
      <c r="J13" s="119" t="str">
        <f t="shared" si="2"/>
        <v>----</v>
      </c>
    </row>
    <row r="14" spans="1:11">
      <c r="A14" s="116"/>
      <c r="B14" s="117"/>
      <c r="C14" s="118"/>
      <c r="D14" s="469"/>
      <c r="E14" s="476"/>
      <c r="F14" s="489" t="str">
        <f t="shared" si="0"/>
        <v>----</v>
      </c>
      <c r="G14" s="476"/>
      <c r="H14" s="489" t="str">
        <f t="shared" si="1"/>
        <v>----</v>
      </c>
      <c r="I14" s="490"/>
      <c r="J14" s="119" t="str">
        <f t="shared" si="2"/>
        <v>----</v>
      </c>
    </row>
    <row r="15" spans="1:11">
      <c r="A15" s="116"/>
      <c r="B15" s="117"/>
      <c r="C15" s="118"/>
      <c r="D15" s="469"/>
      <c r="E15" s="476"/>
      <c r="F15" s="489" t="str">
        <f t="shared" si="0"/>
        <v>----</v>
      </c>
      <c r="G15" s="476"/>
      <c r="H15" s="489" t="str">
        <f t="shared" si="1"/>
        <v>----</v>
      </c>
      <c r="I15" s="490"/>
      <c r="J15" s="119" t="str">
        <f t="shared" si="2"/>
        <v>----</v>
      </c>
    </row>
    <row r="16" spans="1:11">
      <c r="A16" s="116"/>
      <c r="B16" s="117"/>
      <c r="C16" s="118"/>
      <c r="D16" s="469"/>
      <c r="E16" s="476"/>
      <c r="F16" s="489" t="str">
        <f t="shared" si="0"/>
        <v>----</v>
      </c>
      <c r="G16" s="476"/>
      <c r="H16" s="489" t="str">
        <f t="shared" si="1"/>
        <v>----</v>
      </c>
      <c r="I16" s="490"/>
      <c r="J16" s="119" t="str">
        <f t="shared" si="2"/>
        <v>----</v>
      </c>
    </row>
    <row r="17" spans="1:10">
      <c r="A17" s="116"/>
      <c r="B17" s="117"/>
      <c r="C17" s="118"/>
      <c r="D17" s="469"/>
      <c r="E17" s="476"/>
      <c r="F17" s="489" t="str">
        <f t="shared" si="0"/>
        <v>----</v>
      </c>
      <c r="G17" s="476"/>
      <c r="H17" s="489" t="str">
        <f t="shared" si="1"/>
        <v>----</v>
      </c>
      <c r="I17" s="490"/>
      <c r="J17" s="119" t="str">
        <f t="shared" si="2"/>
        <v>----</v>
      </c>
    </row>
    <row r="18" spans="1:10">
      <c r="A18" s="116"/>
      <c r="B18" s="117"/>
      <c r="C18" s="118"/>
      <c r="D18" s="469"/>
      <c r="E18" s="476"/>
      <c r="F18" s="489" t="str">
        <f t="shared" si="0"/>
        <v>----</v>
      </c>
      <c r="G18" s="476"/>
      <c r="H18" s="489" t="str">
        <f t="shared" si="1"/>
        <v>----</v>
      </c>
      <c r="I18" s="490"/>
      <c r="J18" s="119" t="str">
        <f t="shared" si="2"/>
        <v>----</v>
      </c>
    </row>
    <row r="19" spans="1:10">
      <c r="A19" s="116"/>
      <c r="B19" s="117"/>
      <c r="C19" s="118"/>
      <c r="D19" s="469"/>
      <c r="E19" s="476"/>
      <c r="F19" s="489" t="str">
        <f t="shared" si="0"/>
        <v>----</v>
      </c>
      <c r="G19" s="476"/>
      <c r="H19" s="489" t="str">
        <f t="shared" si="1"/>
        <v>----</v>
      </c>
      <c r="I19" s="490"/>
      <c r="J19" s="119" t="str">
        <f t="shared" si="2"/>
        <v>----</v>
      </c>
    </row>
    <row r="20" spans="1:10" ht="15.75" thickBot="1">
      <c r="A20" s="74"/>
      <c r="B20" s="75"/>
      <c r="C20" s="76"/>
      <c r="D20" s="432"/>
      <c r="E20" s="477"/>
      <c r="F20" s="478" t="str">
        <f t="shared" si="0"/>
        <v>----</v>
      </c>
      <c r="G20" s="477"/>
      <c r="H20" s="478" t="str">
        <f t="shared" si="1"/>
        <v>----</v>
      </c>
      <c r="I20" s="483"/>
      <c r="J20" s="77" t="str">
        <f t="shared" si="2"/>
        <v>----</v>
      </c>
    </row>
    <row r="21" spans="1:10" ht="15.75" thickBot="1">
      <c r="A21" s="27"/>
      <c r="B21" s="27"/>
      <c r="C21" s="28"/>
      <c r="D21" s="28"/>
      <c r="E21" s="441"/>
      <c r="F21" s="443">
        <f>SUM(F4:F20)</f>
        <v>0</v>
      </c>
      <c r="G21" s="441"/>
      <c r="H21" s="443">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4" bestFit="1" customWidth="1"/>
    <col min="6" max="6" width="14" style="434" customWidth="1"/>
    <col min="7" max="7" width="10.7109375" style="434" bestFit="1" customWidth="1"/>
    <col min="8" max="8" width="14" style="434" customWidth="1"/>
    <col min="9" max="9" width="10.7109375" bestFit="1" customWidth="1"/>
    <col min="10" max="10" width="14" customWidth="1"/>
  </cols>
  <sheetData>
    <row r="1" spans="1:11" ht="15.75" thickBot="1">
      <c r="A1" s="958" t="s">
        <v>156</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43816</v>
      </c>
      <c r="B4" s="71" t="s">
        <v>165</v>
      </c>
      <c r="C4" s="787">
        <v>578425.56000000006</v>
      </c>
      <c r="D4" s="793">
        <f>C4</f>
        <v>578425.56000000006</v>
      </c>
      <c r="E4" s="800">
        <v>559893.65</v>
      </c>
      <c r="F4" s="809">
        <f t="shared" ref="F4:F20" si="0">IF(ISBLANK(E4),"----",E4-D4)</f>
        <v>-18531.910000000033</v>
      </c>
      <c r="G4" s="800" t="s">
        <v>703</v>
      </c>
      <c r="H4" s="809" t="str">
        <f t="shared" ref="H4:H20" si="1">IF(OR(G4="Complete",ISBLANK(G4)),"----",G4-$D4)</f>
        <v>----</v>
      </c>
      <c r="I4" s="797" t="s">
        <v>703</v>
      </c>
      <c r="J4" s="810" t="str">
        <f t="shared" ref="J4:J20" si="2">IF(OR(I4="Complete",ISBLANK(I4)),"----",I4-$D4)</f>
        <v>----</v>
      </c>
    </row>
    <row r="5" spans="1:11">
      <c r="A5" s="127">
        <v>44153</v>
      </c>
      <c r="B5" s="124" t="s">
        <v>339</v>
      </c>
      <c r="C5" s="756">
        <v>480183.61</v>
      </c>
      <c r="D5" s="757">
        <v>179773.59</v>
      </c>
      <c r="E5" s="758">
        <v>188943.94</v>
      </c>
      <c r="F5" s="667">
        <f t="shared" si="0"/>
        <v>9170.3500000000058</v>
      </c>
      <c r="G5" s="758" t="s">
        <v>703</v>
      </c>
      <c r="H5" s="667" t="str">
        <f t="shared" si="1"/>
        <v>----</v>
      </c>
      <c r="I5" s="760" t="s">
        <v>703</v>
      </c>
      <c r="J5" s="666" t="str">
        <f t="shared" si="2"/>
        <v>----</v>
      </c>
      <c r="K5" t="s">
        <v>735</v>
      </c>
    </row>
    <row r="6" spans="1:11">
      <c r="A6" s="120">
        <v>44880</v>
      </c>
      <c r="B6" s="121" t="s">
        <v>598</v>
      </c>
      <c r="C6" s="731">
        <v>575513.61</v>
      </c>
      <c r="D6" s="748">
        <f>C6</f>
        <v>575513.61</v>
      </c>
      <c r="E6" s="762"/>
      <c r="F6" s="667" t="str">
        <f t="shared" si="0"/>
        <v>----</v>
      </c>
      <c r="G6" s="762"/>
      <c r="H6" s="667" t="str">
        <f t="shared" si="1"/>
        <v>----</v>
      </c>
      <c r="I6" s="763"/>
      <c r="J6" s="666" t="str">
        <f t="shared" si="2"/>
        <v>----</v>
      </c>
    </row>
    <row r="7" spans="1:11">
      <c r="A7" s="120">
        <v>45615</v>
      </c>
      <c r="B7" s="121" t="s">
        <v>782</v>
      </c>
      <c r="C7" s="731">
        <v>514450.7</v>
      </c>
      <c r="D7" s="748">
        <f>C7</f>
        <v>514450.7</v>
      </c>
      <c r="E7" s="762"/>
      <c r="F7" s="667" t="str">
        <f t="shared" si="0"/>
        <v>----</v>
      </c>
      <c r="G7" s="762"/>
      <c r="H7" s="667" t="str">
        <f t="shared" si="1"/>
        <v>----</v>
      </c>
      <c r="I7" s="763"/>
      <c r="J7" s="666" t="str">
        <f t="shared" si="2"/>
        <v>----</v>
      </c>
    </row>
    <row r="8" spans="1:11">
      <c r="A8" s="120">
        <v>45734</v>
      </c>
      <c r="B8" s="121" t="s">
        <v>860</v>
      </c>
      <c r="C8" s="731">
        <v>1233758.6499999999</v>
      </c>
      <c r="D8" s="748">
        <f>C8</f>
        <v>1233758.6499999999</v>
      </c>
      <c r="E8" s="762"/>
      <c r="F8" s="667" t="str">
        <f t="shared" si="0"/>
        <v>----</v>
      </c>
      <c r="G8" s="762"/>
      <c r="H8" s="667" t="str">
        <f t="shared" si="1"/>
        <v>----</v>
      </c>
      <c r="I8" s="763"/>
      <c r="J8" s="666" t="str">
        <f t="shared" si="2"/>
        <v>----</v>
      </c>
    </row>
    <row r="9" spans="1:11">
      <c r="A9" s="120"/>
      <c r="B9" s="121"/>
      <c r="C9" s="731"/>
      <c r="D9" s="748"/>
      <c r="E9" s="762"/>
      <c r="F9" s="667" t="str">
        <f t="shared" si="0"/>
        <v>----</v>
      </c>
      <c r="G9" s="762"/>
      <c r="H9" s="667" t="str">
        <f t="shared" si="1"/>
        <v>----</v>
      </c>
      <c r="I9" s="763"/>
      <c r="J9" s="666" t="str">
        <f t="shared" si="2"/>
        <v>----</v>
      </c>
    </row>
    <row r="10" spans="1:11">
      <c r="A10" s="120"/>
      <c r="B10" s="121"/>
      <c r="C10" s="731"/>
      <c r="D10" s="748"/>
      <c r="E10" s="762"/>
      <c r="F10" s="667" t="str">
        <f t="shared" si="0"/>
        <v>----</v>
      </c>
      <c r="G10" s="762"/>
      <c r="H10" s="667" t="str">
        <f t="shared" si="1"/>
        <v>----</v>
      </c>
      <c r="I10" s="763"/>
      <c r="J10" s="666" t="str">
        <f t="shared" si="2"/>
        <v>----</v>
      </c>
    </row>
    <row r="11" spans="1:11">
      <c r="A11" s="120"/>
      <c r="B11" s="121"/>
      <c r="C11" s="731"/>
      <c r="D11" s="748"/>
      <c r="E11" s="762"/>
      <c r="F11" s="667" t="str">
        <f t="shared" si="0"/>
        <v>----</v>
      </c>
      <c r="G11" s="762"/>
      <c r="H11" s="667" t="str">
        <f t="shared" si="1"/>
        <v>----</v>
      </c>
      <c r="I11" s="763"/>
      <c r="J11" s="666" t="str">
        <f t="shared" si="2"/>
        <v>----</v>
      </c>
    </row>
    <row r="12" spans="1:11">
      <c r="A12" s="120"/>
      <c r="B12" s="121"/>
      <c r="C12" s="731"/>
      <c r="D12" s="748"/>
      <c r="E12" s="762"/>
      <c r="F12" s="667" t="str">
        <f t="shared" si="0"/>
        <v>----</v>
      </c>
      <c r="G12" s="762"/>
      <c r="H12" s="667" t="str">
        <f t="shared" si="1"/>
        <v>----</v>
      </c>
      <c r="I12" s="763"/>
      <c r="J12" s="666" t="str">
        <f t="shared" si="2"/>
        <v>----</v>
      </c>
    </row>
    <row r="13" spans="1:11">
      <c r="A13" s="120"/>
      <c r="B13" s="121"/>
      <c r="C13" s="731"/>
      <c r="D13" s="748"/>
      <c r="E13" s="762"/>
      <c r="F13" s="667" t="str">
        <f t="shared" si="0"/>
        <v>----</v>
      </c>
      <c r="G13" s="762"/>
      <c r="H13" s="667" t="str">
        <f t="shared" si="1"/>
        <v>----</v>
      </c>
      <c r="I13" s="763"/>
      <c r="J13" s="666" t="str">
        <f t="shared" si="2"/>
        <v>----</v>
      </c>
    </row>
    <row r="14" spans="1:11">
      <c r="A14" s="120"/>
      <c r="B14" s="121"/>
      <c r="C14" s="731"/>
      <c r="D14" s="748"/>
      <c r="E14" s="762"/>
      <c r="F14" s="667" t="str">
        <f t="shared" si="0"/>
        <v>----</v>
      </c>
      <c r="G14" s="762"/>
      <c r="H14" s="667" t="str">
        <f t="shared" si="1"/>
        <v>----</v>
      </c>
      <c r="I14" s="763"/>
      <c r="J14" s="666" t="str">
        <f t="shared" si="2"/>
        <v>----</v>
      </c>
    </row>
    <row r="15" spans="1:11">
      <c r="A15" s="120"/>
      <c r="B15" s="121"/>
      <c r="C15" s="731"/>
      <c r="D15" s="748"/>
      <c r="E15" s="762"/>
      <c r="F15" s="667" t="str">
        <f t="shared" si="0"/>
        <v>----</v>
      </c>
      <c r="G15" s="762"/>
      <c r="H15" s="667" t="str">
        <f t="shared" si="1"/>
        <v>----</v>
      </c>
      <c r="I15" s="763"/>
      <c r="J15" s="666" t="str">
        <f t="shared" si="2"/>
        <v>----</v>
      </c>
    </row>
    <row r="16" spans="1:11">
      <c r="A16" s="120"/>
      <c r="B16" s="121"/>
      <c r="C16" s="731"/>
      <c r="D16" s="748"/>
      <c r="E16" s="762"/>
      <c r="F16" s="667" t="str">
        <f t="shared" si="0"/>
        <v>----</v>
      </c>
      <c r="G16" s="762"/>
      <c r="H16" s="667" t="str">
        <f t="shared" si="1"/>
        <v>----</v>
      </c>
      <c r="I16" s="763"/>
      <c r="J16" s="666" t="str">
        <f t="shared" si="2"/>
        <v>----</v>
      </c>
    </row>
    <row r="17" spans="1:10">
      <c r="A17" s="120"/>
      <c r="B17" s="121"/>
      <c r="C17" s="731"/>
      <c r="D17" s="748"/>
      <c r="E17" s="762"/>
      <c r="F17" s="667" t="str">
        <f t="shared" si="0"/>
        <v>----</v>
      </c>
      <c r="G17" s="762"/>
      <c r="H17" s="667" t="str">
        <f t="shared" si="1"/>
        <v>----</v>
      </c>
      <c r="I17" s="763"/>
      <c r="J17" s="666" t="str">
        <f t="shared" si="2"/>
        <v>----</v>
      </c>
    </row>
    <row r="18" spans="1:10">
      <c r="A18" s="120"/>
      <c r="B18" s="121"/>
      <c r="C18" s="731"/>
      <c r="D18" s="748"/>
      <c r="E18" s="762"/>
      <c r="F18" s="667" t="str">
        <f t="shared" si="0"/>
        <v>----</v>
      </c>
      <c r="G18" s="762"/>
      <c r="H18" s="667" t="str">
        <f t="shared" si="1"/>
        <v>----</v>
      </c>
      <c r="I18" s="763"/>
      <c r="J18" s="666" t="str">
        <f t="shared" si="2"/>
        <v>----</v>
      </c>
    </row>
    <row r="19" spans="1:10">
      <c r="A19" s="123"/>
      <c r="C19" s="732"/>
      <c r="D19" s="749"/>
      <c r="E19" s="770"/>
      <c r="F19" s="667" t="str">
        <f t="shared" si="0"/>
        <v>----</v>
      </c>
      <c r="G19" s="770"/>
      <c r="H19" s="667" t="str">
        <f t="shared" si="1"/>
        <v>----</v>
      </c>
      <c r="I19" s="771"/>
      <c r="J19" s="666" t="str">
        <f t="shared" si="2"/>
        <v>----</v>
      </c>
    </row>
    <row r="20" spans="1:10" ht="15.75" thickBot="1">
      <c r="A20" s="74"/>
      <c r="B20" s="75"/>
      <c r="C20" s="789"/>
      <c r="D20" s="796"/>
      <c r="E20" s="802"/>
      <c r="F20" s="807" t="str">
        <f t="shared" si="0"/>
        <v>----</v>
      </c>
      <c r="G20" s="802"/>
      <c r="H20" s="807" t="str">
        <f t="shared" si="1"/>
        <v>----</v>
      </c>
      <c r="I20" s="799"/>
      <c r="J20" s="808" t="str">
        <f t="shared" si="2"/>
        <v>----</v>
      </c>
    </row>
    <row r="21" spans="1:10" ht="15.75" thickBot="1">
      <c r="A21" s="27"/>
      <c r="B21" s="27"/>
      <c r="C21" s="820"/>
      <c r="D21" s="820"/>
      <c r="E21" s="820"/>
      <c r="F21" s="821">
        <f>SUM(F4:F20)</f>
        <v>-9361.5600000000268</v>
      </c>
      <c r="G21" s="820"/>
      <c r="H21" s="821">
        <f>SUM(H4:H20)</f>
        <v>0</v>
      </c>
      <c r="I21" s="820"/>
      <c r="J21" s="821">
        <f>SUM(J4:J20)</f>
        <v>0</v>
      </c>
    </row>
    <row r="22" spans="1:10">
      <c r="C22" s="725"/>
      <c r="D22" s="725"/>
      <c r="E22" s="725"/>
      <c r="F22" s="725"/>
      <c r="G22" s="725"/>
      <c r="H22" s="725"/>
      <c r="I22" s="725"/>
      <c r="J22" s="725"/>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4" bestFit="1" customWidth="1"/>
    <col min="6" max="6" width="11.85546875" style="434" customWidth="1"/>
    <col min="7" max="7" width="12" style="434" bestFit="1" customWidth="1"/>
    <col min="8" max="8" width="11.85546875" style="434" customWidth="1"/>
    <col min="9" max="9" width="12" bestFit="1" customWidth="1"/>
    <col min="10" max="10" width="11.85546875" customWidth="1"/>
  </cols>
  <sheetData>
    <row r="1" spans="1:12" ht="15.75" thickBot="1">
      <c r="A1" s="958" t="s">
        <v>128</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57.75" thickBot="1">
      <c r="A3" s="966"/>
      <c r="B3" s="968"/>
      <c r="C3" s="968"/>
      <c r="D3" s="980"/>
      <c r="E3" s="462" t="s">
        <v>121</v>
      </c>
      <c r="F3" s="470" t="s">
        <v>113</v>
      </c>
      <c r="G3" s="462" t="s">
        <v>121</v>
      </c>
      <c r="H3" s="470" t="s">
        <v>113</v>
      </c>
      <c r="I3" s="480" t="s">
        <v>121</v>
      </c>
      <c r="J3" s="25" t="s">
        <v>113</v>
      </c>
    </row>
    <row r="4" spans="1:12">
      <c r="A4" s="70">
        <v>43970</v>
      </c>
      <c r="B4" s="71" t="s">
        <v>119</v>
      </c>
      <c r="C4" s="787">
        <v>1878163.05</v>
      </c>
      <c r="D4" s="793">
        <f>C4</f>
        <v>1878163.05</v>
      </c>
      <c r="E4" s="800">
        <v>1894818.47</v>
      </c>
      <c r="F4" s="809">
        <f t="shared" ref="F4:F27" si="0">IF(ISBLANK(E4),"----",E4-D4)</f>
        <v>16655.419999999925</v>
      </c>
      <c r="G4" s="800" t="s">
        <v>703</v>
      </c>
      <c r="H4" s="809" t="str">
        <f t="shared" ref="H4:H27" si="1">IF(OR(G4="Complete",ISBLANK(G4)),"----",G4-$D4)</f>
        <v>----</v>
      </c>
      <c r="I4" s="797" t="s">
        <v>703</v>
      </c>
      <c r="J4" s="810" t="str">
        <f t="shared" ref="J4:J27" si="2">IF(OR(I4="Complete",ISBLANK(I4)),"----",I4-$D4)</f>
        <v>----</v>
      </c>
    </row>
    <row r="5" spans="1:12">
      <c r="A5" s="88">
        <v>43907</v>
      </c>
      <c r="B5" s="101" t="s">
        <v>229</v>
      </c>
      <c r="C5" s="790">
        <v>477385.1</v>
      </c>
      <c r="D5" s="794">
        <f>C5</f>
        <v>477385.1</v>
      </c>
      <c r="E5" s="801"/>
      <c r="F5" s="813" t="str">
        <f t="shared" si="0"/>
        <v>----</v>
      </c>
      <c r="G5" s="801"/>
      <c r="H5" s="813" t="str">
        <f t="shared" si="1"/>
        <v>----</v>
      </c>
      <c r="I5" s="798"/>
      <c r="J5" s="814" t="str">
        <f t="shared" si="2"/>
        <v>----</v>
      </c>
    </row>
    <row r="6" spans="1:12">
      <c r="A6" s="91">
        <v>44124</v>
      </c>
      <c r="B6" s="92" t="s">
        <v>308</v>
      </c>
      <c r="C6" s="788">
        <f>1808794.7/2</f>
        <v>904397.35</v>
      </c>
      <c r="D6" s="803">
        <f>361758.94/2</f>
        <v>180879.47</v>
      </c>
      <c r="E6" s="805"/>
      <c r="F6" s="668" t="str">
        <f t="shared" si="0"/>
        <v>----</v>
      </c>
      <c r="G6" s="805">
        <f>(1828683.75-1462947)/2</f>
        <v>182868.375</v>
      </c>
      <c r="H6" s="668">
        <f t="shared" si="1"/>
        <v>1988.9049999999988</v>
      </c>
      <c r="I6" s="804" t="s">
        <v>703</v>
      </c>
      <c r="J6" s="669" t="str">
        <f t="shared" si="2"/>
        <v>----</v>
      </c>
      <c r="K6" t="s">
        <v>323</v>
      </c>
    </row>
    <row r="7" spans="1:12">
      <c r="A7" s="102">
        <v>44362</v>
      </c>
      <c r="B7" s="103" t="s">
        <v>432</v>
      </c>
      <c r="C7" s="776">
        <v>481912.75</v>
      </c>
      <c r="D7" s="735">
        <f t="shared" ref="D7:D15" si="3">C7</f>
        <v>481912.75</v>
      </c>
      <c r="E7" s="745"/>
      <c r="F7" s="813" t="str">
        <f t="shared" si="0"/>
        <v>----</v>
      </c>
      <c r="G7" s="745">
        <v>476478.49</v>
      </c>
      <c r="H7" s="813">
        <f t="shared" si="1"/>
        <v>-5434.2600000000093</v>
      </c>
      <c r="I7" s="740" t="s">
        <v>703</v>
      </c>
      <c r="J7" s="814" t="str">
        <f t="shared" si="2"/>
        <v>----</v>
      </c>
    </row>
    <row r="8" spans="1:12">
      <c r="A8" s="102">
        <v>44425</v>
      </c>
      <c r="B8" s="103" t="s">
        <v>450</v>
      </c>
      <c r="C8" s="776">
        <v>594695.03</v>
      </c>
      <c r="D8" s="735">
        <f t="shared" si="3"/>
        <v>594695.03</v>
      </c>
      <c r="E8" s="745"/>
      <c r="F8" s="813" t="str">
        <f t="shared" si="0"/>
        <v>----</v>
      </c>
      <c r="G8" s="745"/>
      <c r="H8" s="813" t="str">
        <f t="shared" si="1"/>
        <v>----</v>
      </c>
      <c r="I8" s="740"/>
      <c r="J8" s="814" t="str">
        <f t="shared" si="2"/>
        <v>----</v>
      </c>
    </row>
    <row r="9" spans="1:12">
      <c r="A9" s="130">
        <v>44516</v>
      </c>
      <c r="B9" s="117" t="s">
        <v>470</v>
      </c>
      <c r="C9" s="824">
        <v>925595.9</v>
      </c>
      <c r="D9" s="825">
        <f t="shared" si="3"/>
        <v>925595.9</v>
      </c>
      <c r="E9" s="826"/>
      <c r="F9" s="813" t="str">
        <f t="shared" si="0"/>
        <v>----</v>
      </c>
      <c r="G9" s="826">
        <v>918315.2</v>
      </c>
      <c r="H9" s="813">
        <f t="shared" si="1"/>
        <v>-7280.7000000000698</v>
      </c>
      <c r="I9" s="827" t="s">
        <v>703</v>
      </c>
      <c r="J9" s="814" t="str">
        <f t="shared" si="2"/>
        <v>----</v>
      </c>
    </row>
    <row r="10" spans="1:12">
      <c r="A10" s="130">
        <v>44789</v>
      </c>
      <c r="B10" s="228" t="s">
        <v>554</v>
      </c>
      <c r="C10" s="824">
        <v>1599632.01</v>
      </c>
      <c r="D10" s="825">
        <f t="shared" si="3"/>
        <v>1599632.01</v>
      </c>
      <c r="E10" s="826"/>
      <c r="F10" s="813" t="str">
        <f t="shared" si="0"/>
        <v>----</v>
      </c>
      <c r="G10" s="826"/>
      <c r="H10" s="813" t="str">
        <f t="shared" si="1"/>
        <v>----</v>
      </c>
      <c r="I10" s="827"/>
      <c r="J10" s="814" t="str">
        <f t="shared" si="2"/>
        <v>----</v>
      </c>
      <c r="L10" t="s">
        <v>555</v>
      </c>
    </row>
    <row r="11" spans="1:12">
      <c r="A11" s="130">
        <v>44852</v>
      </c>
      <c r="B11" s="228" t="s">
        <v>577</v>
      </c>
      <c r="C11" s="824">
        <v>685341.17</v>
      </c>
      <c r="D11" s="825">
        <f t="shared" si="3"/>
        <v>685341.17</v>
      </c>
      <c r="E11" s="826"/>
      <c r="F11" s="813" t="str">
        <f t="shared" si="0"/>
        <v>----</v>
      </c>
      <c r="G11" s="826">
        <v>667877.59</v>
      </c>
      <c r="H11" s="813">
        <f t="shared" si="1"/>
        <v>-17463.580000000075</v>
      </c>
      <c r="I11" s="827" t="s">
        <v>703</v>
      </c>
      <c r="J11" s="814" t="str">
        <f t="shared" si="2"/>
        <v>----</v>
      </c>
    </row>
    <row r="12" spans="1:12">
      <c r="A12" s="130">
        <v>45370</v>
      </c>
      <c r="B12" s="228" t="s">
        <v>731</v>
      </c>
      <c r="C12" s="824">
        <v>243071.55</v>
      </c>
      <c r="D12" s="825">
        <f t="shared" si="3"/>
        <v>243071.55</v>
      </c>
      <c r="E12" s="826"/>
      <c r="F12" s="813" t="str">
        <f t="shared" si="0"/>
        <v>----</v>
      </c>
      <c r="G12" s="826"/>
      <c r="H12" s="813" t="str">
        <f t="shared" si="1"/>
        <v>----</v>
      </c>
      <c r="I12" s="827"/>
      <c r="J12" s="814" t="str">
        <f t="shared" si="2"/>
        <v>----</v>
      </c>
    </row>
    <row r="13" spans="1:12">
      <c r="A13" s="130">
        <v>45370</v>
      </c>
      <c r="B13" s="228" t="s">
        <v>732</v>
      </c>
      <c r="C13" s="824">
        <v>349646.75</v>
      </c>
      <c r="D13" s="825">
        <f t="shared" si="3"/>
        <v>349646.75</v>
      </c>
      <c r="E13" s="826"/>
      <c r="F13" s="813" t="str">
        <f t="shared" si="0"/>
        <v>----</v>
      </c>
      <c r="G13" s="826"/>
      <c r="H13" s="813" t="str">
        <f t="shared" si="1"/>
        <v>----</v>
      </c>
      <c r="I13" s="827"/>
      <c r="J13" s="814" t="str">
        <f t="shared" si="2"/>
        <v>----</v>
      </c>
    </row>
    <row r="14" spans="1:12">
      <c r="A14" s="130">
        <v>45433</v>
      </c>
      <c r="B14" s="228" t="s">
        <v>751</v>
      </c>
      <c r="C14" s="824">
        <v>243556.65</v>
      </c>
      <c r="D14" s="825">
        <f t="shared" si="3"/>
        <v>243556.65</v>
      </c>
      <c r="E14" s="826"/>
      <c r="F14" s="813" t="str">
        <f t="shared" si="0"/>
        <v>----</v>
      </c>
      <c r="G14" s="826"/>
      <c r="H14" s="813" t="str">
        <f t="shared" si="1"/>
        <v>----</v>
      </c>
      <c r="I14" s="827"/>
      <c r="J14" s="814" t="str">
        <f t="shared" si="2"/>
        <v>----</v>
      </c>
    </row>
    <row r="15" spans="1:12">
      <c r="A15" s="130">
        <v>45433</v>
      </c>
      <c r="B15" s="228" t="s">
        <v>752</v>
      </c>
      <c r="C15" s="824">
        <v>257474</v>
      </c>
      <c r="D15" s="825">
        <f t="shared" si="3"/>
        <v>257474</v>
      </c>
      <c r="E15" s="826"/>
      <c r="F15" s="813" t="str">
        <f t="shared" si="0"/>
        <v>----</v>
      </c>
      <c r="G15" s="826"/>
      <c r="H15" s="813" t="str">
        <f t="shared" si="1"/>
        <v>----</v>
      </c>
      <c r="I15" s="827"/>
      <c r="J15" s="814" t="str">
        <f t="shared" si="2"/>
        <v>----</v>
      </c>
    </row>
    <row r="16" spans="1:12">
      <c r="A16" s="990">
        <v>45706</v>
      </c>
      <c r="B16" s="220" t="s">
        <v>840</v>
      </c>
      <c r="C16" s="764">
        <f>332734.14/2</f>
        <v>166367.07</v>
      </c>
      <c r="D16" s="765">
        <f>C16</f>
        <v>166367.07</v>
      </c>
      <c r="E16" s="766"/>
      <c r="F16" s="822" t="str">
        <f t="shared" si="0"/>
        <v>----</v>
      </c>
      <c r="G16" s="766"/>
      <c r="H16" s="822" t="str">
        <f t="shared" si="1"/>
        <v>----</v>
      </c>
      <c r="I16" s="768"/>
      <c r="J16" s="823" t="str">
        <f t="shared" si="2"/>
        <v>----</v>
      </c>
      <c r="K16" s="786" t="s">
        <v>844</v>
      </c>
    </row>
    <row r="17" spans="1:11">
      <c r="A17" s="991"/>
      <c r="B17" s="220" t="s">
        <v>841</v>
      </c>
      <c r="C17" s="764">
        <f>237813.5/2</f>
        <v>118906.75</v>
      </c>
      <c r="D17" s="765">
        <f>C17</f>
        <v>118906.75</v>
      </c>
      <c r="E17" s="766"/>
      <c r="F17" s="822" t="str">
        <f t="shared" si="0"/>
        <v>----</v>
      </c>
      <c r="G17" s="766"/>
      <c r="H17" s="822" t="str">
        <f t="shared" si="1"/>
        <v>----</v>
      </c>
      <c r="I17" s="768"/>
      <c r="J17" s="823" t="str">
        <f t="shared" si="2"/>
        <v>----</v>
      </c>
      <c r="K17" s="786" t="s">
        <v>845</v>
      </c>
    </row>
    <row r="18" spans="1:11">
      <c r="A18" s="130">
        <v>45706</v>
      </c>
      <c r="B18" s="228" t="s">
        <v>848</v>
      </c>
      <c r="C18" s="824">
        <v>425894.18</v>
      </c>
      <c r="D18" s="825">
        <f>C18</f>
        <v>425894.18</v>
      </c>
      <c r="E18" s="826"/>
      <c r="F18" s="813" t="str">
        <f t="shared" si="0"/>
        <v>----</v>
      </c>
      <c r="G18" s="826"/>
      <c r="H18" s="813" t="str">
        <f t="shared" si="1"/>
        <v>----</v>
      </c>
      <c r="I18" s="827"/>
      <c r="J18" s="814" t="str">
        <f t="shared" si="2"/>
        <v>----</v>
      </c>
    </row>
    <row r="19" spans="1:11">
      <c r="A19" s="130">
        <v>45706</v>
      </c>
      <c r="B19" s="228" t="s">
        <v>849</v>
      </c>
      <c r="C19" s="824">
        <v>479993.2</v>
      </c>
      <c r="D19" s="825">
        <f>C19</f>
        <v>479993.2</v>
      </c>
      <c r="E19" s="826"/>
      <c r="F19" s="813" t="str">
        <f t="shared" si="0"/>
        <v>----</v>
      </c>
      <c r="G19" s="826"/>
      <c r="H19" s="813" t="str">
        <f t="shared" si="1"/>
        <v>----</v>
      </c>
      <c r="I19" s="827"/>
      <c r="J19" s="814" t="str">
        <f t="shared" si="2"/>
        <v>----</v>
      </c>
    </row>
    <row r="20" spans="1:11">
      <c r="A20" s="130"/>
      <c r="B20" s="228"/>
      <c r="C20" s="824"/>
      <c r="D20" s="825"/>
      <c r="E20" s="826"/>
      <c r="F20" s="813" t="str">
        <f t="shared" si="0"/>
        <v>----</v>
      </c>
      <c r="G20" s="826"/>
      <c r="H20" s="813" t="str">
        <f t="shared" si="1"/>
        <v>----</v>
      </c>
      <c r="I20" s="827"/>
      <c r="J20" s="814" t="str">
        <f t="shared" si="2"/>
        <v>----</v>
      </c>
    </row>
    <row r="21" spans="1:11">
      <c r="A21" s="130"/>
      <c r="B21" s="228"/>
      <c r="C21" s="824"/>
      <c r="D21" s="825"/>
      <c r="E21" s="826"/>
      <c r="F21" s="813" t="str">
        <f t="shared" si="0"/>
        <v>----</v>
      </c>
      <c r="G21" s="826"/>
      <c r="H21" s="813" t="str">
        <f t="shared" si="1"/>
        <v>----</v>
      </c>
      <c r="I21" s="827"/>
      <c r="J21" s="814" t="str">
        <f t="shared" si="2"/>
        <v>----</v>
      </c>
    </row>
    <row r="22" spans="1:11">
      <c r="A22" s="130"/>
      <c r="B22" s="228"/>
      <c r="C22" s="824"/>
      <c r="D22" s="825"/>
      <c r="E22" s="826"/>
      <c r="F22" s="813" t="str">
        <f t="shared" si="0"/>
        <v>----</v>
      </c>
      <c r="G22" s="826"/>
      <c r="H22" s="813" t="str">
        <f t="shared" si="1"/>
        <v>----</v>
      </c>
      <c r="I22" s="827"/>
      <c r="J22" s="814" t="str">
        <f t="shared" si="2"/>
        <v>----</v>
      </c>
    </row>
    <row r="23" spans="1:11">
      <c r="A23" s="130"/>
      <c r="B23" s="228"/>
      <c r="C23" s="824"/>
      <c r="D23" s="825"/>
      <c r="E23" s="826"/>
      <c r="F23" s="813" t="str">
        <f t="shared" si="0"/>
        <v>----</v>
      </c>
      <c r="G23" s="826"/>
      <c r="H23" s="813" t="str">
        <f t="shared" si="1"/>
        <v>----</v>
      </c>
      <c r="I23" s="827"/>
      <c r="J23" s="814" t="str">
        <f t="shared" si="2"/>
        <v>----</v>
      </c>
    </row>
    <row r="24" spans="1:11">
      <c r="A24" s="130"/>
      <c r="B24" s="228"/>
      <c r="C24" s="824"/>
      <c r="D24" s="825"/>
      <c r="E24" s="826"/>
      <c r="F24" s="813" t="str">
        <f t="shared" si="0"/>
        <v>----</v>
      </c>
      <c r="G24" s="826"/>
      <c r="H24" s="813" t="str">
        <f t="shared" si="1"/>
        <v>----</v>
      </c>
      <c r="I24" s="827"/>
      <c r="J24" s="814" t="str">
        <f t="shared" si="2"/>
        <v>----</v>
      </c>
    </row>
    <row r="25" spans="1:11">
      <c r="A25" s="130"/>
      <c r="B25" s="228"/>
      <c r="C25" s="824"/>
      <c r="D25" s="825"/>
      <c r="E25" s="826"/>
      <c r="F25" s="813" t="str">
        <f t="shared" si="0"/>
        <v>----</v>
      </c>
      <c r="G25" s="826"/>
      <c r="H25" s="813" t="str">
        <f t="shared" si="1"/>
        <v>----</v>
      </c>
      <c r="I25" s="827"/>
      <c r="J25" s="814" t="str">
        <f t="shared" si="2"/>
        <v>----</v>
      </c>
    </row>
    <row r="26" spans="1:11">
      <c r="A26" s="116"/>
      <c r="B26" s="117"/>
      <c r="C26" s="779"/>
      <c r="D26" s="795"/>
      <c r="E26" s="746"/>
      <c r="F26" s="813" t="str">
        <f t="shared" si="0"/>
        <v>----</v>
      </c>
      <c r="G26" s="746"/>
      <c r="H26" s="813" t="str">
        <f t="shared" si="1"/>
        <v>----</v>
      </c>
      <c r="I26" s="741"/>
      <c r="J26" s="814" t="str">
        <f t="shared" si="2"/>
        <v>----</v>
      </c>
    </row>
    <row r="27" spans="1:11" ht="15.75" thickBot="1">
      <c r="A27" s="74"/>
      <c r="B27" s="75"/>
      <c r="C27" s="789"/>
      <c r="D27" s="796"/>
      <c r="E27" s="802"/>
      <c r="F27" s="807" t="str">
        <f t="shared" si="0"/>
        <v>----</v>
      </c>
      <c r="G27" s="802"/>
      <c r="H27" s="807" t="str">
        <f t="shared" si="1"/>
        <v>----</v>
      </c>
      <c r="I27" s="799"/>
      <c r="J27" s="808" t="str">
        <f t="shared" si="2"/>
        <v>----</v>
      </c>
    </row>
    <row r="28" spans="1:11" ht="15.75" thickBot="1">
      <c r="A28" s="27"/>
      <c r="B28" s="27"/>
      <c r="C28" s="820"/>
      <c r="D28" s="820"/>
      <c r="E28" s="820"/>
      <c r="F28" s="821">
        <f>SUM(F4:F27)</f>
        <v>16655.419999999925</v>
      </c>
      <c r="G28" s="820"/>
      <c r="H28" s="821">
        <f>SUM(H4:H27)</f>
        <v>-28189.635000000155</v>
      </c>
      <c r="I28" s="820"/>
      <c r="J28" s="821">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4"/>
  </cols>
  <sheetData>
    <row r="1" spans="1:11" ht="15.75" thickBot="1">
      <c r="A1" s="958" t="s">
        <v>283</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69" thickBot="1">
      <c r="A3" s="966"/>
      <c r="B3" s="968"/>
      <c r="C3" s="968"/>
      <c r="D3" s="980"/>
      <c r="E3" s="462" t="s">
        <v>121</v>
      </c>
      <c r="F3" s="470" t="s">
        <v>113</v>
      </c>
      <c r="G3" s="462" t="s">
        <v>121</v>
      </c>
      <c r="H3" s="470" t="s">
        <v>113</v>
      </c>
      <c r="I3" s="480" t="s">
        <v>121</v>
      </c>
      <c r="J3" s="25" t="s">
        <v>113</v>
      </c>
    </row>
    <row r="4" spans="1:11">
      <c r="A4" s="70">
        <v>45433</v>
      </c>
      <c r="B4" s="71" t="s">
        <v>750</v>
      </c>
      <c r="C4" s="122">
        <f>696240.42/2</f>
        <v>348120.21</v>
      </c>
      <c r="D4" s="495">
        <f>C4</f>
        <v>348120.21</v>
      </c>
      <c r="E4" s="471"/>
      <c r="F4" s="472" t="str">
        <f>IF(ISBLANK(E4),"----",E4-D4)</f>
        <v>----</v>
      </c>
      <c r="G4" s="471"/>
      <c r="H4" s="472" t="str">
        <f>IF(OR(G4="Complete",ISBLANK(G4)),"----",G4-$D4)</f>
        <v>----</v>
      </c>
      <c r="I4" s="481"/>
      <c r="J4" s="73" t="str">
        <f>IF(OR(I4="Complete",ISBLANK(I4)),"----",I4-$D4)</f>
        <v>----</v>
      </c>
      <c r="K4" t="s">
        <v>773</v>
      </c>
    </row>
    <row r="5" spans="1:11">
      <c r="A5" s="88"/>
      <c r="B5" s="101"/>
      <c r="C5" s="82"/>
      <c r="D5" s="433"/>
      <c r="E5" s="473"/>
      <c r="F5" s="474" t="str">
        <f>IF(ISBLANK(E5),"----",E5-D5)</f>
        <v>----</v>
      </c>
      <c r="G5" s="473"/>
      <c r="H5" s="474" t="str">
        <f>IF(OR(G5="Complete",ISBLANK(G5)),"----",G5-$D5)</f>
        <v>----</v>
      </c>
      <c r="I5" s="486"/>
      <c r="J5" s="83" t="str">
        <f>IF(OR(I5="Complete",ISBLANK(I5)),"----",I5-$D5)</f>
        <v>----</v>
      </c>
    </row>
    <row r="6" spans="1:11">
      <c r="A6" s="91"/>
      <c r="B6" s="92"/>
      <c r="C6" s="84"/>
      <c r="D6" s="479"/>
      <c r="E6" s="484"/>
      <c r="F6" s="485" t="str">
        <f>IF(ISBLANK(E6),"----",E6-D6)</f>
        <v>----</v>
      </c>
      <c r="G6" s="484"/>
      <c r="H6" s="485" t="str">
        <f>IF(OR(G6="Complete",ISBLANK(G6)),"----",G6-$D6)</f>
        <v>----</v>
      </c>
      <c r="I6" s="482"/>
      <c r="J6" s="85" t="str">
        <f>IF(OR(I6="Complete",ISBLANK(I6)),"----",I6-$D6)</f>
        <v>----</v>
      </c>
    </row>
    <row r="7" spans="1:11" ht="15.75" thickBot="1">
      <c r="A7" s="74"/>
      <c r="B7" s="75"/>
      <c r="C7" s="76"/>
      <c r="D7" s="432"/>
      <c r="E7" s="477"/>
      <c r="F7" s="478" t="str">
        <f>IF(ISBLANK(E7),"----",E7-D7)</f>
        <v>----</v>
      </c>
      <c r="G7" s="477"/>
      <c r="H7" s="478" t="str">
        <f>IF(OR(G7="Complete",ISBLANK(G7)),"----",G7-$D7)</f>
        <v>----</v>
      </c>
      <c r="I7" s="483"/>
      <c r="J7" s="77" t="str">
        <f>IF(OR(I7="Complete",ISBLANK(I7)),"----",I7-$D7)</f>
        <v>----</v>
      </c>
    </row>
    <row r="8" spans="1:11" ht="15.75" thickBot="1">
      <c r="A8" s="27"/>
      <c r="B8" s="27"/>
      <c r="C8" s="28"/>
      <c r="D8" s="28"/>
      <c r="E8" s="441"/>
      <c r="F8" s="443">
        <f>SUM(F4:F7)</f>
        <v>0</v>
      </c>
      <c r="G8" s="441"/>
      <c r="H8" s="443">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F13" sqref="F13"/>
    </sheetView>
  </sheetViews>
  <sheetFormatPr defaultRowHeight="15"/>
  <cols>
    <col min="2" max="2" width="22.7109375" bestFit="1" customWidth="1"/>
    <col min="3" max="4" width="10.7109375" bestFit="1" customWidth="1"/>
    <col min="5" max="5" width="10.7109375" style="434" bestFit="1" customWidth="1"/>
    <col min="6" max="6" width="9.85546875" style="434" bestFit="1" customWidth="1"/>
    <col min="7" max="7" width="10.7109375" style="434" bestFit="1" customWidth="1"/>
    <col min="8" max="8" width="9.85546875" style="434" bestFit="1" customWidth="1"/>
    <col min="9" max="9" width="10.7109375" bestFit="1" customWidth="1"/>
    <col min="10" max="10" width="9.85546875" bestFit="1" customWidth="1"/>
  </cols>
  <sheetData>
    <row r="1" spans="1:10" ht="15.75" thickBot="1">
      <c r="A1" s="958" t="s">
        <v>284</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57.75" thickBot="1">
      <c r="A3" s="966"/>
      <c r="B3" s="968"/>
      <c r="C3" s="968"/>
      <c r="D3" s="980"/>
      <c r="E3" s="462" t="s">
        <v>121</v>
      </c>
      <c r="F3" s="470" t="s">
        <v>113</v>
      </c>
      <c r="G3" s="462" t="s">
        <v>121</v>
      </c>
      <c r="H3" s="470" t="s">
        <v>113</v>
      </c>
      <c r="I3" s="480" t="s">
        <v>121</v>
      </c>
      <c r="J3" s="25" t="s">
        <v>113</v>
      </c>
    </row>
    <row r="4" spans="1:10">
      <c r="A4" s="70">
        <v>44033</v>
      </c>
      <c r="B4" s="71" t="s">
        <v>299</v>
      </c>
      <c r="C4" s="787">
        <v>480134.27</v>
      </c>
      <c r="D4" s="793">
        <f>C4</f>
        <v>480134.27</v>
      </c>
      <c r="E4" s="800">
        <v>492254.22</v>
      </c>
      <c r="F4" s="809">
        <f t="shared" ref="F4:F24" si="0">IF(ISBLANK(E4),"----",E4-D4)</f>
        <v>12119.949999999953</v>
      </c>
      <c r="G4" s="800" t="s">
        <v>703</v>
      </c>
      <c r="H4" s="809" t="str">
        <f t="shared" ref="H4:H24" si="1">IF(OR(G4="Complete",ISBLANK(G4)),"----",G4-$D4)</f>
        <v>----</v>
      </c>
      <c r="I4" s="797" t="s">
        <v>703</v>
      </c>
      <c r="J4" s="810" t="str">
        <f t="shared" ref="J4:J24" si="2">IF(OR(I4="Complete",ISBLANK(I4)),"----",I4-$D4)</f>
        <v>----</v>
      </c>
    </row>
    <row r="5" spans="1:10">
      <c r="A5" s="88">
        <v>44362</v>
      </c>
      <c r="B5" s="101" t="s">
        <v>433</v>
      </c>
      <c r="C5" s="790">
        <v>278138.5</v>
      </c>
      <c r="D5" s="794">
        <f>C5</f>
        <v>278138.5</v>
      </c>
      <c r="E5" s="801">
        <v>295152.18</v>
      </c>
      <c r="F5" s="813">
        <f t="shared" si="0"/>
        <v>17013.679999999993</v>
      </c>
      <c r="G5" s="801" t="s">
        <v>703</v>
      </c>
      <c r="H5" s="813" t="str">
        <f t="shared" si="1"/>
        <v>----</v>
      </c>
      <c r="I5" s="798" t="s">
        <v>703</v>
      </c>
      <c r="J5" s="814" t="str">
        <f t="shared" si="2"/>
        <v>----</v>
      </c>
    </row>
    <row r="6" spans="1:10">
      <c r="A6" s="102">
        <v>45797</v>
      </c>
      <c r="B6" s="727" t="s">
        <v>877</v>
      </c>
      <c r="C6" s="776">
        <v>768171.6</v>
      </c>
      <c r="D6" s="735">
        <f>C6</f>
        <v>768171.6</v>
      </c>
      <c r="E6" s="745"/>
      <c r="F6" s="777" t="str">
        <f t="shared" si="0"/>
        <v>----</v>
      </c>
      <c r="G6" s="745"/>
      <c r="H6" s="777" t="str">
        <f t="shared" si="1"/>
        <v>----</v>
      </c>
      <c r="I6" s="740"/>
      <c r="J6" s="778" t="str">
        <f t="shared" si="2"/>
        <v>----</v>
      </c>
    </row>
    <row r="7" spans="1:10">
      <c r="A7" s="102">
        <v>45797</v>
      </c>
      <c r="B7" s="727" t="s">
        <v>878</v>
      </c>
      <c r="C7" s="776">
        <v>900801.25</v>
      </c>
      <c r="D7" s="735">
        <f>C7</f>
        <v>900801.25</v>
      </c>
      <c r="E7" s="745"/>
      <c r="F7" s="777" t="str">
        <f t="shared" si="0"/>
        <v>----</v>
      </c>
      <c r="G7" s="745"/>
      <c r="H7" s="777" t="str">
        <f t="shared" si="1"/>
        <v>----</v>
      </c>
      <c r="I7" s="740"/>
      <c r="J7" s="778" t="str">
        <f t="shared" si="2"/>
        <v>----</v>
      </c>
    </row>
    <row r="8" spans="1:10">
      <c r="A8" s="102"/>
      <c r="B8" s="103"/>
      <c r="C8" s="776"/>
      <c r="D8" s="735"/>
      <c r="E8" s="745"/>
      <c r="F8" s="777" t="str">
        <f t="shared" si="0"/>
        <v>----</v>
      </c>
      <c r="G8" s="745"/>
      <c r="H8" s="777" t="str">
        <f t="shared" si="1"/>
        <v>----</v>
      </c>
      <c r="I8" s="740"/>
      <c r="J8" s="778" t="str">
        <f t="shared" si="2"/>
        <v>----</v>
      </c>
    </row>
    <row r="9" spans="1:10">
      <c r="A9" s="102"/>
      <c r="B9" s="103"/>
      <c r="C9" s="776"/>
      <c r="D9" s="735"/>
      <c r="E9" s="745"/>
      <c r="F9" s="777" t="str">
        <f t="shared" si="0"/>
        <v>----</v>
      </c>
      <c r="G9" s="745"/>
      <c r="H9" s="777" t="str">
        <f t="shared" si="1"/>
        <v>----</v>
      </c>
      <c r="I9" s="740"/>
      <c r="J9" s="778" t="str">
        <f t="shared" si="2"/>
        <v>----</v>
      </c>
    </row>
    <row r="10" spans="1:10">
      <c r="A10" s="102"/>
      <c r="B10" s="103"/>
      <c r="C10" s="776"/>
      <c r="D10" s="735"/>
      <c r="E10" s="745"/>
      <c r="F10" s="777" t="str">
        <f t="shared" si="0"/>
        <v>----</v>
      </c>
      <c r="G10" s="745"/>
      <c r="H10" s="777" t="str">
        <f t="shared" si="1"/>
        <v>----</v>
      </c>
      <c r="I10" s="740"/>
      <c r="J10" s="778" t="str">
        <f t="shared" si="2"/>
        <v>----</v>
      </c>
    </row>
    <row r="11" spans="1:10">
      <c r="A11" s="102"/>
      <c r="B11" s="103"/>
      <c r="C11" s="776"/>
      <c r="D11" s="735"/>
      <c r="E11" s="745"/>
      <c r="F11" s="777" t="str">
        <f t="shared" si="0"/>
        <v>----</v>
      </c>
      <c r="G11" s="745"/>
      <c r="H11" s="777" t="str">
        <f t="shared" si="1"/>
        <v>----</v>
      </c>
      <c r="I11" s="740"/>
      <c r="J11" s="778" t="str">
        <f t="shared" si="2"/>
        <v>----</v>
      </c>
    </row>
    <row r="12" spans="1:10">
      <c r="A12" s="102"/>
      <c r="B12" s="103"/>
      <c r="C12" s="776"/>
      <c r="D12" s="735"/>
      <c r="E12" s="745"/>
      <c r="F12" s="777" t="str">
        <f t="shared" si="0"/>
        <v>----</v>
      </c>
      <c r="G12" s="745"/>
      <c r="H12" s="777" t="str">
        <f t="shared" si="1"/>
        <v>----</v>
      </c>
      <c r="I12" s="740"/>
      <c r="J12" s="778" t="str">
        <f t="shared" si="2"/>
        <v>----</v>
      </c>
    </row>
    <row r="13" spans="1:10">
      <c r="A13" s="102"/>
      <c r="B13" s="103"/>
      <c r="C13" s="776"/>
      <c r="D13" s="735"/>
      <c r="E13" s="745"/>
      <c r="F13" s="777" t="str">
        <f t="shared" si="0"/>
        <v>----</v>
      </c>
      <c r="G13" s="745"/>
      <c r="H13" s="777" t="str">
        <f t="shared" si="1"/>
        <v>----</v>
      </c>
      <c r="I13" s="740"/>
      <c r="J13" s="778" t="str">
        <f t="shared" si="2"/>
        <v>----</v>
      </c>
    </row>
    <row r="14" spans="1:10">
      <c r="A14" s="102"/>
      <c r="B14" s="103"/>
      <c r="C14" s="776"/>
      <c r="D14" s="735"/>
      <c r="E14" s="745"/>
      <c r="F14" s="777" t="str">
        <f t="shared" si="0"/>
        <v>----</v>
      </c>
      <c r="G14" s="745"/>
      <c r="H14" s="777" t="str">
        <f t="shared" si="1"/>
        <v>----</v>
      </c>
      <c r="I14" s="740"/>
      <c r="J14" s="778" t="str">
        <f t="shared" si="2"/>
        <v>----</v>
      </c>
    </row>
    <row r="15" spans="1:10">
      <c r="A15" s="102"/>
      <c r="B15" s="103"/>
      <c r="C15" s="776"/>
      <c r="D15" s="735"/>
      <c r="E15" s="745"/>
      <c r="F15" s="777" t="str">
        <f t="shared" si="0"/>
        <v>----</v>
      </c>
      <c r="G15" s="745"/>
      <c r="H15" s="777" t="str">
        <f t="shared" si="1"/>
        <v>----</v>
      </c>
      <c r="I15" s="740"/>
      <c r="J15" s="778" t="str">
        <f t="shared" si="2"/>
        <v>----</v>
      </c>
    </row>
    <row r="16" spans="1:10">
      <c r="A16" s="102"/>
      <c r="B16" s="103"/>
      <c r="C16" s="776"/>
      <c r="D16" s="735"/>
      <c r="E16" s="745"/>
      <c r="F16" s="777" t="str">
        <f t="shared" si="0"/>
        <v>----</v>
      </c>
      <c r="G16" s="745"/>
      <c r="H16" s="777" t="str">
        <f t="shared" si="1"/>
        <v>----</v>
      </c>
      <c r="I16" s="740"/>
      <c r="J16" s="778" t="str">
        <f t="shared" si="2"/>
        <v>----</v>
      </c>
    </row>
    <row r="17" spans="1:10">
      <c r="A17" s="102"/>
      <c r="B17" s="103"/>
      <c r="C17" s="776"/>
      <c r="D17" s="735"/>
      <c r="E17" s="745"/>
      <c r="F17" s="777" t="str">
        <f t="shared" si="0"/>
        <v>----</v>
      </c>
      <c r="G17" s="745"/>
      <c r="H17" s="777" t="str">
        <f t="shared" si="1"/>
        <v>----</v>
      </c>
      <c r="I17" s="740"/>
      <c r="J17" s="778" t="str">
        <f t="shared" si="2"/>
        <v>----</v>
      </c>
    </row>
    <row r="18" spans="1:10">
      <c r="A18" s="102"/>
      <c r="B18" s="103"/>
      <c r="C18" s="776"/>
      <c r="D18" s="735"/>
      <c r="E18" s="745"/>
      <c r="F18" s="777" t="str">
        <f t="shared" si="0"/>
        <v>----</v>
      </c>
      <c r="G18" s="745"/>
      <c r="H18" s="777" t="str">
        <f t="shared" si="1"/>
        <v>----</v>
      </c>
      <c r="I18" s="740"/>
      <c r="J18" s="778" t="str">
        <f t="shared" si="2"/>
        <v>----</v>
      </c>
    </row>
    <row r="19" spans="1:10">
      <c r="A19" s="102"/>
      <c r="B19" s="103"/>
      <c r="C19" s="776"/>
      <c r="D19" s="735"/>
      <c r="E19" s="745"/>
      <c r="F19" s="777" t="str">
        <f t="shared" si="0"/>
        <v>----</v>
      </c>
      <c r="G19" s="745"/>
      <c r="H19" s="777" t="str">
        <f t="shared" si="1"/>
        <v>----</v>
      </c>
      <c r="I19" s="740"/>
      <c r="J19" s="778" t="str">
        <f t="shared" si="2"/>
        <v>----</v>
      </c>
    </row>
    <row r="20" spans="1:10">
      <c r="A20" s="102"/>
      <c r="B20" s="103"/>
      <c r="C20" s="776"/>
      <c r="D20" s="735"/>
      <c r="E20" s="745"/>
      <c r="F20" s="777" t="str">
        <f t="shared" si="0"/>
        <v>----</v>
      </c>
      <c r="G20" s="745"/>
      <c r="H20" s="777" t="str">
        <f t="shared" si="1"/>
        <v>----</v>
      </c>
      <c r="I20" s="740"/>
      <c r="J20" s="778" t="str">
        <f t="shared" si="2"/>
        <v>----</v>
      </c>
    </row>
    <row r="21" spans="1:10">
      <c r="A21" s="102"/>
      <c r="B21" s="103"/>
      <c r="C21" s="776"/>
      <c r="D21" s="735"/>
      <c r="E21" s="745"/>
      <c r="F21" s="777" t="str">
        <f t="shared" si="0"/>
        <v>----</v>
      </c>
      <c r="G21" s="745"/>
      <c r="H21" s="777" t="str">
        <f t="shared" si="1"/>
        <v>----</v>
      </c>
      <c r="I21" s="740"/>
      <c r="J21" s="778" t="str">
        <f t="shared" si="2"/>
        <v>----</v>
      </c>
    </row>
    <row r="22" spans="1:10">
      <c r="A22" s="102"/>
      <c r="B22" s="103"/>
      <c r="C22" s="776"/>
      <c r="D22" s="735"/>
      <c r="E22" s="745"/>
      <c r="F22" s="777" t="str">
        <f t="shared" si="0"/>
        <v>----</v>
      </c>
      <c r="G22" s="745"/>
      <c r="H22" s="777" t="str">
        <f t="shared" si="1"/>
        <v>----</v>
      </c>
      <c r="I22" s="740"/>
      <c r="J22" s="778" t="str">
        <f t="shared" si="2"/>
        <v>----</v>
      </c>
    </row>
    <row r="23" spans="1:10">
      <c r="A23" s="116"/>
      <c r="B23" s="117"/>
      <c r="C23" s="779"/>
      <c r="D23" s="795"/>
      <c r="E23" s="746"/>
      <c r="F23" s="780" t="str">
        <f t="shared" si="0"/>
        <v>----</v>
      </c>
      <c r="G23" s="746"/>
      <c r="H23" s="780" t="str">
        <f t="shared" si="1"/>
        <v>----</v>
      </c>
      <c r="I23" s="741"/>
      <c r="J23" s="781" t="str">
        <f t="shared" si="2"/>
        <v>----</v>
      </c>
    </row>
    <row r="24" spans="1:10" ht="15.75" thickBot="1">
      <c r="A24" s="74"/>
      <c r="B24" s="75"/>
      <c r="C24" s="789"/>
      <c r="D24" s="796"/>
      <c r="E24" s="802"/>
      <c r="F24" s="807" t="str">
        <f t="shared" si="0"/>
        <v>----</v>
      </c>
      <c r="G24" s="802"/>
      <c r="H24" s="807" t="str">
        <f t="shared" si="1"/>
        <v>----</v>
      </c>
      <c r="I24" s="799"/>
      <c r="J24" s="808" t="str">
        <f t="shared" si="2"/>
        <v>----</v>
      </c>
    </row>
    <row r="25" spans="1:10" ht="15.75" thickBot="1">
      <c r="A25" s="27"/>
      <c r="B25" s="27"/>
      <c r="C25" s="28"/>
      <c r="D25" s="28"/>
      <c r="E25" s="441"/>
      <c r="F25" s="443">
        <f>SUM(F4:F24)</f>
        <v>29133.629999999946</v>
      </c>
      <c r="G25" s="441"/>
      <c r="H25" s="443">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L24"/>
  <sheetViews>
    <sheetView workbookViewId="0">
      <selection activeCell="L15" sqref="L15"/>
    </sheetView>
  </sheetViews>
  <sheetFormatPr defaultRowHeight="15"/>
  <cols>
    <col min="2" max="2" width="21.28515625" bestFit="1" customWidth="1"/>
    <col min="3" max="3" width="12" bestFit="1" customWidth="1"/>
    <col min="4" max="4" width="11.42578125" customWidth="1"/>
    <col min="5" max="5" width="9.140625" style="434"/>
    <col min="6" max="6" width="12.28515625" style="434" customWidth="1"/>
    <col min="7" max="7" width="10.7109375" style="434" bestFit="1" customWidth="1"/>
    <col min="8" max="8" width="12.28515625" style="434" customWidth="1"/>
    <col min="9" max="9" width="10.7109375" bestFit="1" customWidth="1"/>
    <col min="10" max="10" width="12.28515625" customWidth="1"/>
    <col min="12" max="12" width="11.140625" bestFit="1" customWidth="1"/>
  </cols>
  <sheetData>
    <row r="1" spans="1:12" ht="15.75" thickBot="1">
      <c r="A1" s="958" t="s">
        <v>157</v>
      </c>
      <c r="B1" s="959"/>
      <c r="C1" s="959"/>
      <c r="D1" s="959"/>
      <c r="E1" s="959"/>
      <c r="F1" s="959"/>
      <c r="G1" s="959"/>
      <c r="H1" s="959"/>
      <c r="I1" s="959"/>
      <c r="J1" s="960"/>
    </row>
    <row r="2" spans="1:12" s="434" customFormat="1">
      <c r="A2" s="965" t="s">
        <v>110</v>
      </c>
      <c r="B2" s="967" t="s">
        <v>111</v>
      </c>
      <c r="C2" s="967" t="s">
        <v>112</v>
      </c>
      <c r="D2" s="979" t="s">
        <v>120</v>
      </c>
      <c r="E2" s="963" t="s">
        <v>701</v>
      </c>
      <c r="F2" s="964"/>
      <c r="G2" s="963" t="s">
        <v>702</v>
      </c>
      <c r="H2" s="964"/>
      <c r="I2" s="938" t="s">
        <v>796</v>
      </c>
      <c r="J2" s="939"/>
    </row>
    <row r="3" spans="1:12" ht="57.75" thickBot="1">
      <c r="A3" s="966"/>
      <c r="B3" s="968"/>
      <c r="C3" s="968"/>
      <c r="D3" s="980"/>
      <c r="E3" s="462" t="s">
        <v>121</v>
      </c>
      <c r="F3" s="470" t="s">
        <v>113</v>
      </c>
      <c r="G3" s="462" t="s">
        <v>121</v>
      </c>
      <c r="H3" s="470" t="s">
        <v>113</v>
      </c>
      <c r="I3" s="480" t="s">
        <v>121</v>
      </c>
      <c r="J3" s="25" t="s">
        <v>113</v>
      </c>
    </row>
    <row r="4" spans="1:12">
      <c r="A4" s="70">
        <v>43816</v>
      </c>
      <c r="B4" s="71" t="s">
        <v>164</v>
      </c>
      <c r="C4" s="72">
        <v>669021.30000000005</v>
      </c>
      <c r="D4" s="431">
        <f>C4</f>
        <v>669021.30000000005</v>
      </c>
      <c r="E4" s="471"/>
      <c r="F4" s="472" t="str">
        <f t="shared" ref="F4:F23" si="0">IF(ISBLANK(E4),"----",E4-D4)</f>
        <v>----</v>
      </c>
      <c r="G4" s="471">
        <v>671095.9</v>
      </c>
      <c r="H4" s="472">
        <f t="shared" ref="H4:H23" si="1">IF(OR(G4="Complete",ISBLANK(G4)),"----",G4-$D4)</f>
        <v>2074.5999999999767</v>
      </c>
      <c r="I4" s="481" t="s">
        <v>703</v>
      </c>
      <c r="J4" s="73" t="str">
        <f t="shared" ref="J4:J23" si="2">IF(OR(I4="Complete",ISBLANK(I4)),"----",I4-$D4)</f>
        <v>----</v>
      </c>
    </row>
    <row r="5" spans="1:12">
      <c r="A5" s="88">
        <v>44089</v>
      </c>
      <c r="B5" s="101" t="s">
        <v>307</v>
      </c>
      <c r="C5" s="82">
        <v>240766.5</v>
      </c>
      <c r="D5" s="433">
        <f>C5</f>
        <v>240766.5</v>
      </c>
      <c r="E5" s="473"/>
      <c r="F5" s="474" t="str">
        <f t="shared" si="0"/>
        <v>----</v>
      </c>
      <c r="G5" s="473">
        <v>245490.68</v>
      </c>
      <c r="H5" s="474">
        <f t="shared" si="1"/>
        <v>4724.179999999993</v>
      </c>
      <c r="I5" s="486" t="s">
        <v>703</v>
      </c>
      <c r="J5" s="83" t="str">
        <f t="shared" si="2"/>
        <v>----</v>
      </c>
    </row>
    <row r="6" spans="1:12">
      <c r="A6" s="102">
        <v>44124</v>
      </c>
      <c r="B6" s="103" t="s">
        <v>320</v>
      </c>
      <c r="C6" s="87">
        <v>1082462.76</v>
      </c>
      <c r="D6" s="468">
        <v>590882.76</v>
      </c>
      <c r="E6" s="475"/>
      <c r="F6" s="474" t="str">
        <f t="shared" si="0"/>
        <v>----</v>
      </c>
      <c r="G6" s="475">
        <v>559595.43000000005</v>
      </c>
      <c r="H6" s="474">
        <f t="shared" si="1"/>
        <v>-31287.329999999958</v>
      </c>
      <c r="I6" s="486" t="s">
        <v>703</v>
      </c>
      <c r="J6" s="83" t="str">
        <f t="shared" si="2"/>
        <v>----</v>
      </c>
      <c r="K6" t="s">
        <v>422</v>
      </c>
      <c r="L6" s="725">
        <v>491580</v>
      </c>
    </row>
    <row r="7" spans="1:12">
      <c r="A7" s="102">
        <v>44915</v>
      </c>
      <c r="B7" s="103" t="s">
        <v>617</v>
      </c>
      <c r="C7" s="87">
        <v>586832.5</v>
      </c>
      <c r="D7" s="468">
        <f>C7</f>
        <v>586832.5</v>
      </c>
      <c r="E7" s="475"/>
      <c r="F7" s="474" t="str">
        <f t="shared" si="0"/>
        <v>----</v>
      </c>
      <c r="G7" s="475"/>
      <c r="H7" s="474" t="str">
        <f t="shared" si="1"/>
        <v>----</v>
      </c>
      <c r="I7" s="488"/>
      <c r="J7" s="83" t="str">
        <f t="shared" si="2"/>
        <v>----</v>
      </c>
    </row>
    <row r="8" spans="1:12">
      <c r="A8" s="224">
        <v>45308</v>
      </c>
      <c r="B8" s="225" t="s">
        <v>721</v>
      </c>
      <c r="C8" s="226"/>
      <c r="D8" s="561"/>
      <c r="E8" s="563"/>
      <c r="F8" s="564" t="str">
        <f t="shared" si="0"/>
        <v>----</v>
      </c>
      <c r="G8" s="563"/>
      <c r="H8" s="564" t="str">
        <f t="shared" si="1"/>
        <v>----</v>
      </c>
      <c r="I8" s="562"/>
      <c r="J8" s="227" t="str">
        <f t="shared" si="2"/>
        <v>----</v>
      </c>
      <c r="K8" t="s">
        <v>723</v>
      </c>
    </row>
    <row r="9" spans="1:12">
      <c r="A9" s="102"/>
      <c r="B9" s="103"/>
      <c r="C9" s="87"/>
      <c r="D9" s="468"/>
      <c r="E9" s="475"/>
      <c r="F9" s="474" t="str">
        <f t="shared" si="0"/>
        <v>----</v>
      </c>
      <c r="G9" s="475"/>
      <c r="H9" s="474" t="str">
        <f t="shared" si="1"/>
        <v>----</v>
      </c>
      <c r="I9" s="488"/>
      <c r="J9" s="83" t="str">
        <f t="shared" si="2"/>
        <v>----</v>
      </c>
    </row>
    <row r="10" spans="1:12">
      <c r="A10" s="102"/>
      <c r="B10" s="103"/>
      <c r="C10" s="87"/>
      <c r="D10" s="468"/>
      <c r="E10" s="475"/>
      <c r="F10" s="474" t="str">
        <f t="shared" si="0"/>
        <v>----</v>
      </c>
      <c r="G10" s="475"/>
      <c r="H10" s="474" t="str">
        <f t="shared" si="1"/>
        <v>----</v>
      </c>
      <c r="I10" s="488"/>
      <c r="J10" s="83" t="str">
        <f t="shared" si="2"/>
        <v>----</v>
      </c>
    </row>
    <row r="11" spans="1:12">
      <c r="A11" s="102"/>
      <c r="B11" s="103"/>
      <c r="C11" s="87"/>
      <c r="D11" s="468"/>
      <c r="E11" s="475"/>
      <c r="F11" s="474" t="str">
        <f t="shared" si="0"/>
        <v>----</v>
      </c>
      <c r="G11" s="475"/>
      <c r="H11" s="474" t="str">
        <f t="shared" si="1"/>
        <v>----</v>
      </c>
      <c r="I11" s="488"/>
      <c r="J11" s="83" t="str">
        <f t="shared" si="2"/>
        <v>----</v>
      </c>
    </row>
    <row r="12" spans="1:12">
      <c r="A12" s="102"/>
      <c r="B12" s="103"/>
      <c r="C12" s="87"/>
      <c r="D12" s="468"/>
      <c r="E12" s="475"/>
      <c r="F12" s="474" t="str">
        <f t="shared" si="0"/>
        <v>----</v>
      </c>
      <c r="G12" s="475"/>
      <c r="H12" s="474" t="str">
        <f t="shared" si="1"/>
        <v>----</v>
      </c>
      <c r="I12" s="488"/>
      <c r="J12" s="83" t="str">
        <f t="shared" si="2"/>
        <v>----</v>
      </c>
    </row>
    <row r="13" spans="1:12">
      <c r="A13" s="102"/>
      <c r="B13" s="103"/>
      <c r="C13" s="87"/>
      <c r="D13" s="468"/>
      <c r="E13" s="475"/>
      <c r="F13" s="474" t="str">
        <f t="shared" si="0"/>
        <v>----</v>
      </c>
      <c r="G13" s="475"/>
      <c r="H13" s="474" t="str">
        <f t="shared" si="1"/>
        <v>----</v>
      </c>
      <c r="I13" s="488"/>
      <c r="J13" s="83" t="str">
        <f t="shared" si="2"/>
        <v>----</v>
      </c>
    </row>
    <row r="14" spans="1:12">
      <c r="A14" s="102"/>
      <c r="B14" s="103"/>
      <c r="C14" s="87"/>
      <c r="D14" s="468"/>
      <c r="E14" s="475"/>
      <c r="F14" s="474" t="str">
        <f t="shared" si="0"/>
        <v>----</v>
      </c>
      <c r="G14" s="475"/>
      <c r="H14" s="474" t="str">
        <f t="shared" si="1"/>
        <v>----</v>
      </c>
      <c r="I14" s="488"/>
      <c r="J14" s="83" t="str">
        <f t="shared" si="2"/>
        <v>----</v>
      </c>
    </row>
    <row r="15" spans="1:12">
      <c r="A15" s="102"/>
      <c r="B15" s="103"/>
      <c r="C15" s="87"/>
      <c r="D15" s="468"/>
      <c r="E15" s="475"/>
      <c r="F15" s="474" t="str">
        <f t="shared" si="0"/>
        <v>----</v>
      </c>
      <c r="G15" s="475"/>
      <c r="H15" s="474" t="str">
        <f t="shared" si="1"/>
        <v>----</v>
      </c>
      <c r="I15" s="488"/>
      <c r="J15" s="83" t="str">
        <f t="shared" si="2"/>
        <v>----</v>
      </c>
    </row>
    <row r="16" spans="1:12">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02"/>
      <c r="B18" s="103"/>
      <c r="C18" s="87"/>
      <c r="D18" s="468"/>
      <c r="E18" s="475"/>
      <c r="F18" s="474" t="str">
        <f t="shared" si="0"/>
        <v>----</v>
      </c>
      <c r="G18" s="475"/>
      <c r="H18" s="474" t="str">
        <f t="shared" si="1"/>
        <v>----</v>
      </c>
      <c r="I18" s="488"/>
      <c r="J18" s="83" t="str">
        <f t="shared" si="2"/>
        <v>----</v>
      </c>
    </row>
    <row r="19" spans="1:10">
      <c r="A19" s="102"/>
      <c r="B19" s="103"/>
      <c r="C19" s="87"/>
      <c r="D19" s="468"/>
      <c r="E19" s="475"/>
      <c r="F19" s="474" t="str">
        <f t="shared" si="0"/>
        <v>----</v>
      </c>
      <c r="G19" s="475"/>
      <c r="H19" s="474" t="str">
        <f t="shared" si="1"/>
        <v>----</v>
      </c>
      <c r="I19" s="488"/>
      <c r="J19" s="83" t="str">
        <f t="shared" si="2"/>
        <v>----</v>
      </c>
    </row>
    <row r="20" spans="1:10">
      <c r="A20" s="102"/>
      <c r="B20" s="103"/>
      <c r="C20" s="87"/>
      <c r="D20" s="468"/>
      <c r="E20" s="475"/>
      <c r="F20" s="474" t="str">
        <f t="shared" si="0"/>
        <v>----</v>
      </c>
      <c r="G20" s="475"/>
      <c r="H20" s="474" t="str">
        <f t="shared" si="1"/>
        <v>----</v>
      </c>
      <c r="I20" s="488"/>
      <c r="J20" s="83" t="str">
        <f t="shared" si="2"/>
        <v>----</v>
      </c>
    </row>
    <row r="21" spans="1:10">
      <c r="A21" s="102"/>
      <c r="B21" s="103"/>
      <c r="C21" s="87"/>
      <c r="D21" s="468"/>
      <c r="E21" s="475"/>
      <c r="F21" s="474" t="str">
        <f t="shared" si="0"/>
        <v>----</v>
      </c>
      <c r="G21" s="475"/>
      <c r="H21" s="474" t="str">
        <f t="shared" si="1"/>
        <v>----</v>
      </c>
      <c r="I21" s="488"/>
      <c r="J21" s="83" t="str">
        <f t="shared" si="2"/>
        <v>----</v>
      </c>
    </row>
    <row r="22" spans="1:10">
      <c r="A22" s="116"/>
      <c r="B22" s="117"/>
      <c r="C22" s="118"/>
      <c r="D22" s="469"/>
      <c r="E22" s="476"/>
      <c r="F22" s="474" t="str">
        <f t="shared" si="0"/>
        <v>----</v>
      </c>
      <c r="G22" s="476"/>
      <c r="H22" s="474" t="str">
        <f t="shared" si="1"/>
        <v>----</v>
      </c>
      <c r="I22" s="490"/>
      <c r="J22" s="83" t="str">
        <f t="shared" si="2"/>
        <v>----</v>
      </c>
    </row>
    <row r="23" spans="1:10" ht="15.75" thickBot="1">
      <c r="A23" s="74"/>
      <c r="B23" s="75"/>
      <c r="C23" s="76"/>
      <c r="D23" s="432"/>
      <c r="E23" s="477"/>
      <c r="F23" s="478" t="str">
        <f t="shared" si="0"/>
        <v>----</v>
      </c>
      <c r="G23" s="477"/>
      <c r="H23" s="478" t="str">
        <f t="shared" si="1"/>
        <v>----</v>
      </c>
      <c r="I23" s="483"/>
      <c r="J23" s="77" t="str">
        <f t="shared" si="2"/>
        <v>----</v>
      </c>
    </row>
    <row r="24" spans="1:10" ht="15.75" thickBot="1">
      <c r="A24" s="27"/>
      <c r="B24" s="27"/>
      <c r="C24" s="28"/>
      <c r="D24" s="28"/>
      <c r="E24" s="441"/>
      <c r="F24" s="443">
        <f>SUM(F4:F23)</f>
        <v>0</v>
      </c>
      <c r="G24" s="441"/>
      <c r="H24" s="443">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E20" sqref="E20"/>
    </sheetView>
  </sheetViews>
  <sheetFormatPr defaultRowHeight="15"/>
  <cols>
    <col min="2" max="2" width="22.5703125" bestFit="1" customWidth="1"/>
    <col min="3" max="4" width="10.7109375" bestFit="1"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 min="11" max="11" width="9.5703125" bestFit="1" customWidth="1"/>
  </cols>
  <sheetData>
    <row r="1" spans="1:11" ht="15.75" thickBot="1">
      <c r="A1" s="958" t="s">
        <v>285</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994">
        <v>44153</v>
      </c>
      <c r="B4" s="71" t="s">
        <v>340</v>
      </c>
      <c r="C4" s="787">
        <v>440518.26</v>
      </c>
      <c r="D4" s="793">
        <v>235693.26</v>
      </c>
      <c r="E4" s="800">
        <v>238153.92</v>
      </c>
      <c r="F4" s="809">
        <f t="shared" ref="F4:F18" si="0">IF(ISBLANK(E4),"----",E4-D4)</f>
        <v>2460.6600000000035</v>
      </c>
      <c r="G4" s="800" t="s">
        <v>703</v>
      </c>
      <c r="H4" s="809" t="str">
        <f t="shared" ref="H4:H18" si="1">IF(OR(G4="Complete",ISBLANK(G4)),"----",G4-$D4)</f>
        <v>----</v>
      </c>
      <c r="I4" s="797" t="s">
        <v>703</v>
      </c>
      <c r="J4" s="810" t="str">
        <f t="shared" ref="J4:J18" si="2">IF(OR(I4="Complete",ISBLANK(I4)),"----",I4-$D4)</f>
        <v>----</v>
      </c>
    </row>
    <row r="5" spans="1:11">
      <c r="A5" s="989"/>
      <c r="B5" s="101" t="s">
        <v>341</v>
      </c>
      <c r="C5" s="790">
        <v>433735.25</v>
      </c>
      <c r="D5" s="794">
        <v>338150.25</v>
      </c>
      <c r="E5" s="801">
        <f>403676.37-95585</f>
        <v>308091.37</v>
      </c>
      <c r="F5" s="813">
        <f t="shared" si="0"/>
        <v>-30058.880000000005</v>
      </c>
      <c r="G5" s="801" t="s">
        <v>703</v>
      </c>
      <c r="H5" s="813" t="str">
        <f t="shared" si="1"/>
        <v>----</v>
      </c>
      <c r="I5" s="798" t="s">
        <v>703</v>
      </c>
      <c r="J5" s="814" t="str">
        <f t="shared" si="2"/>
        <v>----</v>
      </c>
      <c r="K5" s="806"/>
    </row>
    <row r="6" spans="1:11">
      <c r="A6" s="88">
        <v>44216</v>
      </c>
      <c r="B6" s="101" t="s">
        <v>382</v>
      </c>
      <c r="C6" s="790">
        <v>538624.5</v>
      </c>
      <c r="D6" s="794">
        <f t="shared" ref="D6:D11" si="3">C6</f>
        <v>538624.5</v>
      </c>
      <c r="E6" s="801">
        <v>519115.73</v>
      </c>
      <c r="F6" s="813">
        <f t="shared" si="0"/>
        <v>-19508.770000000019</v>
      </c>
      <c r="G6" s="801" t="s">
        <v>703</v>
      </c>
      <c r="H6" s="813" t="str">
        <f t="shared" si="1"/>
        <v>----</v>
      </c>
      <c r="I6" s="798" t="s">
        <v>703</v>
      </c>
      <c r="J6" s="814" t="str">
        <f t="shared" si="2"/>
        <v>----</v>
      </c>
    </row>
    <row r="7" spans="1:11">
      <c r="A7" s="88">
        <v>44607</v>
      </c>
      <c r="B7" s="101" t="s">
        <v>508</v>
      </c>
      <c r="C7" s="790">
        <v>594810.69999999995</v>
      </c>
      <c r="D7" s="794">
        <f t="shared" si="3"/>
        <v>594810.69999999995</v>
      </c>
      <c r="E7" s="801">
        <v>584050.91</v>
      </c>
      <c r="F7" s="813">
        <f t="shared" si="0"/>
        <v>-10759.789999999921</v>
      </c>
      <c r="G7" s="801" t="s">
        <v>703</v>
      </c>
      <c r="H7" s="813" t="str">
        <f t="shared" si="1"/>
        <v>----</v>
      </c>
      <c r="I7" s="798" t="s">
        <v>703</v>
      </c>
      <c r="J7" s="814" t="str">
        <f t="shared" si="2"/>
        <v>----</v>
      </c>
    </row>
    <row r="8" spans="1:11">
      <c r="A8" s="88">
        <v>44824</v>
      </c>
      <c r="B8" s="101" t="s">
        <v>569</v>
      </c>
      <c r="C8" s="790">
        <v>441309.25</v>
      </c>
      <c r="D8" s="794">
        <f t="shared" si="3"/>
        <v>441309.25</v>
      </c>
      <c r="E8" s="801">
        <v>447088.78</v>
      </c>
      <c r="F8" s="813">
        <f t="shared" si="0"/>
        <v>5779.5300000000279</v>
      </c>
      <c r="G8" s="801" t="s">
        <v>703</v>
      </c>
      <c r="H8" s="813" t="str">
        <f t="shared" si="1"/>
        <v>----</v>
      </c>
      <c r="I8" s="798" t="s">
        <v>703</v>
      </c>
      <c r="J8" s="814" t="str">
        <f t="shared" si="2"/>
        <v>----</v>
      </c>
    </row>
    <row r="9" spans="1:11">
      <c r="A9" s="88">
        <v>44915</v>
      </c>
      <c r="B9" s="101" t="s">
        <v>618</v>
      </c>
      <c r="C9" s="790">
        <v>890768.8</v>
      </c>
      <c r="D9" s="794">
        <f t="shared" si="3"/>
        <v>890768.8</v>
      </c>
      <c r="E9" s="801"/>
      <c r="F9" s="813" t="str">
        <f t="shared" si="0"/>
        <v>----</v>
      </c>
      <c r="G9" s="801"/>
      <c r="H9" s="813" t="str">
        <f t="shared" si="1"/>
        <v>----</v>
      </c>
      <c r="I9" s="798">
        <v>884506.15</v>
      </c>
      <c r="J9" s="814">
        <f t="shared" si="2"/>
        <v>-6262.6500000000233</v>
      </c>
    </row>
    <row r="10" spans="1:11">
      <c r="A10" s="410">
        <v>45251</v>
      </c>
      <c r="B10" s="411" t="s">
        <v>682</v>
      </c>
      <c r="C10" s="790">
        <v>594539.19999999995</v>
      </c>
      <c r="D10" s="794">
        <f t="shared" si="3"/>
        <v>594539.19999999995</v>
      </c>
      <c r="E10" s="801"/>
      <c r="F10" s="813" t="str">
        <f t="shared" si="0"/>
        <v>----</v>
      </c>
      <c r="G10" s="801"/>
      <c r="H10" s="813" t="str">
        <f t="shared" si="1"/>
        <v>----</v>
      </c>
      <c r="I10" s="798"/>
      <c r="J10" s="814" t="str">
        <f t="shared" si="2"/>
        <v>----</v>
      </c>
    </row>
    <row r="11" spans="1:11">
      <c r="A11" s="88">
        <v>45398</v>
      </c>
      <c r="B11" s="450" t="s">
        <v>742</v>
      </c>
      <c r="C11" s="790">
        <v>887120.75</v>
      </c>
      <c r="D11" s="794">
        <f t="shared" si="3"/>
        <v>887120.75</v>
      </c>
      <c r="E11" s="801"/>
      <c r="F11" s="813" t="str">
        <f t="shared" si="0"/>
        <v>----</v>
      </c>
      <c r="G11" s="801"/>
      <c r="H11" s="813" t="str">
        <f t="shared" si="1"/>
        <v>----</v>
      </c>
      <c r="I11" s="798"/>
      <c r="J11" s="814" t="str">
        <f t="shared" si="2"/>
        <v>----</v>
      </c>
    </row>
    <row r="12" spans="1:11">
      <c r="A12" s="88">
        <v>45888</v>
      </c>
      <c r="B12" s="703" t="s">
        <v>897</v>
      </c>
      <c r="C12" s="790">
        <v>637326.65</v>
      </c>
      <c r="D12" s="794">
        <f>C12</f>
        <v>637326.65</v>
      </c>
      <c r="E12" s="801"/>
      <c r="F12" s="813" t="str">
        <f t="shared" si="0"/>
        <v>----</v>
      </c>
      <c r="G12" s="801"/>
      <c r="H12" s="813" t="str">
        <f t="shared" si="1"/>
        <v>----</v>
      </c>
      <c r="I12" s="798"/>
      <c r="J12" s="814" t="str">
        <f t="shared" si="2"/>
        <v>----</v>
      </c>
    </row>
    <row r="13" spans="1:11">
      <c r="A13" s="88"/>
      <c r="B13" s="101"/>
      <c r="C13" s="790"/>
      <c r="D13" s="794"/>
      <c r="E13" s="801"/>
      <c r="F13" s="813" t="str">
        <f t="shared" si="0"/>
        <v>----</v>
      </c>
      <c r="G13" s="801"/>
      <c r="H13" s="813" t="str">
        <f t="shared" si="1"/>
        <v>----</v>
      </c>
      <c r="I13" s="798"/>
      <c r="J13" s="814" t="str">
        <f t="shared" si="2"/>
        <v>----</v>
      </c>
    </row>
    <row r="14" spans="1:11">
      <c r="A14" s="88"/>
      <c r="B14" s="101"/>
      <c r="C14" s="790"/>
      <c r="D14" s="794"/>
      <c r="E14" s="801"/>
      <c r="F14" s="813" t="str">
        <f t="shared" si="0"/>
        <v>----</v>
      </c>
      <c r="G14" s="801"/>
      <c r="H14" s="813" t="str">
        <f t="shared" si="1"/>
        <v>----</v>
      </c>
      <c r="I14" s="798"/>
      <c r="J14" s="814" t="str">
        <f t="shared" si="2"/>
        <v>----</v>
      </c>
    </row>
    <row r="15" spans="1:11">
      <c r="A15" s="88"/>
      <c r="B15" s="101"/>
      <c r="C15" s="790"/>
      <c r="D15" s="794"/>
      <c r="E15" s="801"/>
      <c r="F15" s="813" t="str">
        <f t="shared" si="0"/>
        <v>----</v>
      </c>
      <c r="G15" s="801"/>
      <c r="H15" s="813" t="str">
        <f t="shared" si="1"/>
        <v>----</v>
      </c>
      <c r="I15" s="798"/>
      <c r="J15" s="814" t="str">
        <f t="shared" si="2"/>
        <v>----</v>
      </c>
    </row>
    <row r="16" spans="1:11">
      <c r="A16" s="88"/>
      <c r="B16" s="101"/>
      <c r="C16" s="790"/>
      <c r="D16" s="794"/>
      <c r="E16" s="801"/>
      <c r="F16" s="813" t="str">
        <f t="shared" si="0"/>
        <v>----</v>
      </c>
      <c r="G16" s="801"/>
      <c r="H16" s="813" t="str">
        <f t="shared" si="1"/>
        <v>----</v>
      </c>
      <c r="I16" s="798"/>
      <c r="J16" s="814" t="str">
        <f t="shared" si="2"/>
        <v>----</v>
      </c>
    </row>
    <row r="17" spans="1:10">
      <c r="A17" s="88"/>
      <c r="B17" s="101"/>
      <c r="C17" s="790"/>
      <c r="D17" s="794"/>
      <c r="E17" s="801"/>
      <c r="F17" s="813" t="str">
        <f t="shared" si="0"/>
        <v>----</v>
      </c>
      <c r="G17" s="801"/>
      <c r="H17" s="813" t="str">
        <f t="shared" si="1"/>
        <v>----</v>
      </c>
      <c r="I17" s="798"/>
      <c r="J17" s="814" t="str">
        <f t="shared" si="2"/>
        <v>----</v>
      </c>
    </row>
    <row r="18" spans="1:10" ht="15.75" thickBot="1">
      <c r="A18" s="74"/>
      <c r="B18" s="75"/>
      <c r="C18" s="789"/>
      <c r="D18" s="796"/>
      <c r="E18" s="802"/>
      <c r="F18" s="807" t="str">
        <f t="shared" si="0"/>
        <v>----</v>
      </c>
      <c r="G18" s="802"/>
      <c r="H18" s="807" t="str">
        <f t="shared" si="1"/>
        <v>----</v>
      </c>
      <c r="I18" s="799"/>
      <c r="J18" s="808" t="str">
        <f t="shared" si="2"/>
        <v>----</v>
      </c>
    </row>
    <row r="19" spans="1:10" ht="15.75" thickBot="1">
      <c r="A19" s="27"/>
      <c r="B19" s="27"/>
      <c r="C19" s="28"/>
      <c r="D19" s="28"/>
      <c r="E19" s="441"/>
      <c r="F19" s="443">
        <f>SUM(F4:F18)</f>
        <v>-52087.249999999913</v>
      </c>
      <c r="G19" s="441"/>
      <c r="H19" s="443">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4" bestFit="1" customWidth="1"/>
    <col min="6" max="6" width="12.42578125" style="434" customWidth="1"/>
    <col min="7" max="7" width="10.7109375" style="434" bestFit="1" customWidth="1"/>
    <col min="8" max="8" width="12.42578125" style="434" customWidth="1"/>
    <col min="9" max="9" width="10.7109375" bestFit="1" customWidth="1"/>
    <col min="10" max="10" width="12.42578125" customWidth="1"/>
  </cols>
  <sheetData>
    <row r="1" spans="1:11" ht="15.75" thickBot="1">
      <c r="A1" s="958" t="s">
        <v>141</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43788</v>
      </c>
      <c r="B4" s="71" t="s">
        <v>343</v>
      </c>
      <c r="C4" s="728">
        <v>605531.69999999995</v>
      </c>
      <c r="D4" s="733">
        <f>C4</f>
        <v>605531.69999999995</v>
      </c>
      <c r="E4" s="743"/>
      <c r="F4" s="774" t="str">
        <f>IF(ISBLANK($I4),"----",$I4-$D4)</f>
        <v>----</v>
      </c>
      <c r="G4" s="743"/>
      <c r="H4" s="774" t="str">
        <f t="shared" ref="H4:H18" si="0">IF(OR(G4="Complete",ISBLANK(G4)),"----",G4-$D4)</f>
        <v>----</v>
      </c>
      <c r="I4" s="738"/>
      <c r="J4" s="775" t="str">
        <f t="shared" ref="J4:J18" si="1">IF(OR(I4="Complete",ISBLANK(I4)),"----",I4-$D4)</f>
        <v>----</v>
      </c>
    </row>
    <row r="5" spans="1:11">
      <c r="A5" s="127">
        <v>44153</v>
      </c>
      <c r="B5" s="128" t="s">
        <v>342</v>
      </c>
      <c r="C5" s="756">
        <v>713284.12</v>
      </c>
      <c r="D5" s="757">
        <v>221704.12</v>
      </c>
      <c r="E5" s="758">
        <v>208108.73</v>
      </c>
      <c r="F5" s="667">
        <f t="shared" ref="F5:F18" si="2">IF(ISBLANK(E5),"----",E5-D5)</f>
        <v>-13595.389999999985</v>
      </c>
      <c r="G5" s="758" t="s">
        <v>703</v>
      </c>
      <c r="H5" s="667" t="str">
        <f t="shared" si="0"/>
        <v>----</v>
      </c>
      <c r="I5" s="760" t="s">
        <v>703</v>
      </c>
      <c r="J5" s="666" t="str">
        <f t="shared" si="1"/>
        <v>----</v>
      </c>
    </row>
    <row r="6" spans="1:11">
      <c r="A6" s="120">
        <v>44397</v>
      </c>
      <c r="B6" s="121" t="s">
        <v>443</v>
      </c>
      <c r="C6" s="731">
        <v>289498.25</v>
      </c>
      <c r="D6" s="748">
        <v>71018.25</v>
      </c>
      <c r="E6" s="762"/>
      <c r="F6" s="667" t="str">
        <f t="shared" si="2"/>
        <v>----</v>
      </c>
      <c r="G6" s="762">
        <f>280423.17-218480</f>
        <v>61943.169999999984</v>
      </c>
      <c r="H6" s="667">
        <f t="shared" si="0"/>
        <v>-9075.0800000000163</v>
      </c>
      <c r="I6" s="763"/>
      <c r="J6" s="666" t="str">
        <f t="shared" si="1"/>
        <v>----</v>
      </c>
      <c r="K6" s="724" t="s">
        <v>803</v>
      </c>
    </row>
    <row r="7" spans="1:11">
      <c r="A7" s="120">
        <v>44397</v>
      </c>
      <c r="B7" s="121" t="s">
        <v>444</v>
      </c>
      <c r="C7" s="731">
        <v>874442.2</v>
      </c>
      <c r="D7" s="748">
        <v>492102.2</v>
      </c>
      <c r="E7" s="762"/>
      <c r="F7" s="667" t="str">
        <f t="shared" si="2"/>
        <v>----</v>
      </c>
      <c r="G7" s="762">
        <f>874457.62-382340</f>
        <v>492117.62</v>
      </c>
      <c r="H7" s="667">
        <f t="shared" si="0"/>
        <v>15.419999999983702</v>
      </c>
      <c r="I7" s="763"/>
      <c r="J7" s="666" t="str">
        <f t="shared" si="1"/>
        <v>----</v>
      </c>
      <c r="K7" t="s">
        <v>804</v>
      </c>
    </row>
    <row r="8" spans="1:11">
      <c r="A8" s="120">
        <v>45580</v>
      </c>
      <c r="B8" s="121" t="s">
        <v>777</v>
      </c>
      <c r="C8" s="731">
        <v>714396.59</v>
      </c>
      <c r="D8" s="748">
        <f>C8</f>
        <v>714396.59</v>
      </c>
      <c r="E8" s="762"/>
      <c r="F8" s="667" t="str">
        <f t="shared" si="2"/>
        <v>----</v>
      </c>
      <c r="G8" s="762"/>
      <c r="H8" s="667" t="str">
        <f t="shared" si="0"/>
        <v>----</v>
      </c>
      <c r="I8" s="763"/>
      <c r="J8" s="666" t="str">
        <f t="shared" si="1"/>
        <v>----</v>
      </c>
    </row>
    <row r="9" spans="1:11">
      <c r="A9" s="120"/>
      <c r="B9" s="121"/>
      <c r="C9" s="731"/>
      <c r="D9" s="748"/>
      <c r="E9" s="762"/>
      <c r="F9" s="667" t="str">
        <f t="shared" si="2"/>
        <v>----</v>
      </c>
      <c r="G9" s="762"/>
      <c r="H9" s="667" t="str">
        <f t="shared" si="0"/>
        <v>----</v>
      </c>
      <c r="I9" s="763"/>
      <c r="J9" s="666" t="str">
        <f t="shared" si="1"/>
        <v>----</v>
      </c>
    </row>
    <row r="10" spans="1:11">
      <c r="A10" s="120"/>
      <c r="B10" s="121"/>
      <c r="C10" s="731"/>
      <c r="D10" s="748"/>
      <c r="E10" s="762"/>
      <c r="F10" s="667" t="str">
        <f t="shared" si="2"/>
        <v>----</v>
      </c>
      <c r="G10" s="762"/>
      <c r="H10" s="667" t="str">
        <f t="shared" si="0"/>
        <v>----</v>
      </c>
      <c r="I10" s="763"/>
      <c r="J10" s="666" t="str">
        <f t="shared" si="1"/>
        <v>----</v>
      </c>
    </row>
    <row r="11" spans="1:11">
      <c r="A11" s="120"/>
      <c r="B11" s="121"/>
      <c r="C11" s="731"/>
      <c r="D11" s="748"/>
      <c r="E11" s="762"/>
      <c r="F11" s="667" t="str">
        <f t="shared" si="2"/>
        <v>----</v>
      </c>
      <c r="G11" s="762"/>
      <c r="H11" s="667" t="str">
        <f t="shared" si="0"/>
        <v>----</v>
      </c>
      <c r="I11" s="763"/>
      <c r="J11" s="666" t="str">
        <f t="shared" si="1"/>
        <v>----</v>
      </c>
    </row>
    <row r="12" spans="1:11">
      <c r="A12" s="120"/>
      <c r="B12" s="121"/>
      <c r="C12" s="731"/>
      <c r="D12" s="748"/>
      <c r="E12" s="762"/>
      <c r="F12" s="667" t="str">
        <f t="shared" si="2"/>
        <v>----</v>
      </c>
      <c r="G12" s="762"/>
      <c r="H12" s="667" t="str">
        <f t="shared" si="0"/>
        <v>----</v>
      </c>
      <c r="I12" s="763"/>
      <c r="J12" s="666" t="str">
        <f t="shared" si="1"/>
        <v>----</v>
      </c>
    </row>
    <row r="13" spans="1:11">
      <c r="A13" s="120"/>
      <c r="B13" s="121"/>
      <c r="C13" s="731"/>
      <c r="D13" s="748"/>
      <c r="E13" s="762"/>
      <c r="F13" s="667" t="str">
        <f t="shared" si="2"/>
        <v>----</v>
      </c>
      <c r="G13" s="762"/>
      <c r="H13" s="667" t="str">
        <f t="shared" si="0"/>
        <v>----</v>
      </c>
      <c r="I13" s="763"/>
      <c r="J13" s="666" t="str">
        <f t="shared" si="1"/>
        <v>----</v>
      </c>
    </row>
    <row r="14" spans="1:11">
      <c r="A14" s="120"/>
      <c r="B14" s="121"/>
      <c r="C14" s="731"/>
      <c r="D14" s="748"/>
      <c r="E14" s="762"/>
      <c r="F14" s="667" t="str">
        <f t="shared" si="2"/>
        <v>----</v>
      </c>
      <c r="G14" s="762"/>
      <c r="H14" s="667" t="str">
        <f t="shared" si="0"/>
        <v>----</v>
      </c>
      <c r="I14" s="763"/>
      <c r="J14" s="666" t="str">
        <f t="shared" si="1"/>
        <v>----</v>
      </c>
    </row>
    <row r="15" spans="1:11">
      <c r="A15" s="120"/>
      <c r="B15" s="121"/>
      <c r="C15" s="731"/>
      <c r="D15" s="748"/>
      <c r="E15" s="762"/>
      <c r="F15" s="667" t="str">
        <f t="shared" si="2"/>
        <v>----</v>
      </c>
      <c r="G15" s="762"/>
      <c r="H15" s="667" t="str">
        <f t="shared" si="0"/>
        <v>----</v>
      </c>
      <c r="I15" s="763"/>
      <c r="J15" s="666" t="str">
        <f t="shared" si="1"/>
        <v>----</v>
      </c>
    </row>
    <row r="16" spans="1:11">
      <c r="A16" s="120"/>
      <c r="B16" s="121"/>
      <c r="C16" s="731"/>
      <c r="D16" s="748"/>
      <c r="E16" s="762"/>
      <c r="F16" s="667" t="str">
        <f t="shared" si="2"/>
        <v>----</v>
      </c>
      <c r="G16" s="762"/>
      <c r="H16" s="667" t="str">
        <f t="shared" si="0"/>
        <v>----</v>
      </c>
      <c r="I16" s="763"/>
      <c r="J16" s="666" t="str">
        <f t="shared" si="1"/>
        <v>----</v>
      </c>
    </row>
    <row r="17" spans="1:10">
      <c r="A17" s="123"/>
      <c r="B17" s="124"/>
      <c r="C17" s="732"/>
      <c r="D17" s="749"/>
      <c r="E17" s="770"/>
      <c r="F17" s="667" t="str">
        <f t="shared" si="2"/>
        <v>----</v>
      </c>
      <c r="G17" s="770"/>
      <c r="H17" s="667" t="str">
        <f t="shared" si="0"/>
        <v>----</v>
      </c>
      <c r="I17" s="771"/>
      <c r="J17" s="666" t="str">
        <f t="shared" si="1"/>
        <v>----</v>
      </c>
    </row>
    <row r="18" spans="1:10" ht="15.75" thickBot="1">
      <c r="A18" s="74"/>
      <c r="B18" s="75"/>
      <c r="C18" s="729"/>
      <c r="D18" s="737"/>
      <c r="E18" s="747"/>
      <c r="F18" s="772" t="str">
        <f t="shared" si="2"/>
        <v>----</v>
      </c>
      <c r="G18" s="747"/>
      <c r="H18" s="772" t="str">
        <f t="shared" si="0"/>
        <v>----</v>
      </c>
      <c r="I18" s="742"/>
      <c r="J18" s="773" t="str">
        <f t="shared" si="1"/>
        <v>----</v>
      </c>
    </row>
    <row r="19" spans="1:10" ht="15.75" thickBot="1">
      <c r="A19" s="27"/>
      <c r="B19" s="27"/>
      <c r="C19" s="28"/>
      <c r="D19" s="28"/>
      <c r="E19" s="441"/>
      <c r="F19" s="443">
        <f>SUM(F4:F18)</f>
        <v>-13595.389999999985</v>
      </c>
      <c r="G19" s="441"/>
      <c r="H19" s="443">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D10" sqref="D10"/>
    </sheetView>
  </sheetViews>
  <sheetFormatPr defaultRowHeight="15"/>
  <cols>
    <col min="2" max="2" width="23.7109375" bestFit="1" customWidth="1"/>
    <col min="3" max="3" width="10" bestFit="1" customWidth="1"/>
    <col min="4" max="4" width="11.5703125" customWidth="1"/>
    <col min="5" max="5" width="11.5703125" style="434" customWidth="1"/>
    <col min="6" max="6" width="13.85546875" style="434" customWidth="1"/>
    <col min="7" max="7" width="11.5703125" style="434" customWidth="1"/>
    <col min="8" max="8" width="13.85546875" style="434" customWidth="1"/>
    <col min="9" max="9" width="11.5703125" customWidth="1"/>
    <col min="10" max="10" width="13.85546875" customWidth="1"/>
  </cols>
  <sheetData>
    <row r="1" spans="1:11" ht="15.75" thickBot="1">
      <c r="A1" s="958" t="s">
        <v>158</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43816</v>
      </c>
      <c r="B4" s="71" t="s">
        <v>161</v>
      </c>
      <c r="C4" s="104">
        <v>619973.69999999995</v>
      </c>
      <c r="D4" s="532">
        <v>540968.18000000005</v>
      </c>
      <c r="E4" s="542">
        <f>609367.21-79005.52</f>
        <v>530361.68999999994</v>
      </c>
      <c r="F4" s="472">
        <f t="shared" ref="F4:F28" si="0">IF(ISBLANK(E4),"----",E4-D4)</f>
        <v>-10606.490000000107</v>
      </c>
      <c r="G4" s="542" t="s">
        <v>703</v>
      </c>
      <c r="H4" s="472" t="str">
        <f t="shared" ref="H4:H28" si="1">IF(OR(G4="Complete",ISBLANK(G4)),"----",G4-$D4)</f>
        <v>----</v>
      </c>
      <c r="I4" s="537" t="s">
        <v>703</v>
      </c>
      <c r="J4" s="73" t="str">
        <f t="shared" ref="J4:J28" si="2">IF(OR(I4="Complete",ISBLANK(I4)),"----",I4-$D4)</f>
        <v>----</v>
      </c>
      <c r="K4" s="22" t="s">
        <v>163</v>
      </c>
    </row>
    <row r="5" spans="1:11">
      <c r="A5" s="88">
        <v>43816</v>
      </c>
      <c r="B5" s="101" t="s">
        <v>162</v>
      </c>
      <c r="C5" s="112">
        <v>393547.9</v>
      </c>
      <c r="D5" s="533">
        <f>C5</f>
        <v>393547.9</v>
      </c>
      <c r="E5" s="543">
        <v>394376.07</v>
      </c>
      <c r="F5" s="474">
        <f t="shared" si="0"/>
        <v>828.1699999999837</v>
      </c>
      <c r="G5" s="543" t="s">
        <v>703</v>
      </c>
      <c r="H5" s="474" t="str">
        <f t="shared" si="1"/>
        <v>----</v>
      </c>
      <c r="I5" s="538" t="s">
        <v>703</v>
      </c>
      <c r="J5" s="83" t="str">
        <f t="shared" si="2"/>
        <v>----</v>
      </c>
    </row>
    <row r="6" spans="1:11">
      <c r="A6" s="110">
        <v>44061</v>
      </c>
      <c r="B6" s="111" t="s">
        <v>302</v>
      </c>
      <c r="C6" s="113">
        <v>526549.01</v>
      </c>
      <c r="D6" s="589">
        <v>251264.01</v>
      </c>
      <c r="E6" s="591">
        <v>247856.43</v>
      </c>
      <c r="F6" s="474">
        <f t="shared" si="0"/>
        <v>-3407.5800000000163</v>
      </c>
      <c r="G6" s="591" t="s">
        <v>703</v>
      </c>
      <c r="H6" s="474" t="str">
        <f t="shared" si="1"/>
        <v>----</v>
      </c>
      <c r="I6" s="590" t="s">
        <v>703</v>
      </c>
      <c r="J6" s="83" t="str">
        <f t="shared" si="2"/>
        <v>----</v>
      </c>
    </row>
    <row r="7" spans="1:11">
      <c r="A7" s="120">
        <v>44516</v>
      </c>
      <c r="B7" s="121" t="s">
        <v>471</v>
      </c>
      <c r="C7" s="231">
        <v>240684.43</v>
      </c>
      <c r="D7" s="555">
        <f>C7</f>
        <v>240684.43</v>
      </c>
      <c r="E7" s="544">
        <v>241479.78</v>
      </c>
      <c r="F7" s="474">
        <f t="shared" si="0"/>
        <v>795.35000000000582</v>
      </c>
      <c r="G7" s="544" t="s">
        <v>703</v>
      </c>
      <c r="H7" s="474" t="str">
        <f t="shared" si="1"/>
        <v>----</v>
      </c>
      <c r="I7" s="539" t="s">
        <v>703</v>
      </c>
      <c r="J7" s="83" t="str">
        <f t="shared" si="2"/>
        <v>----</v>
      </c>
    </row>
    <row r="8" spans="1:11">
      <c r="A8" s="120">
        <v>45552</v>
      </c>
      <c r="B8" s="121" t="s">
        <v>776</v>
      </c>
      <c r="C8" s="231">
        <v>278674.15000000002</v>
      </c>
      <c r="D8" s="555">
        <f>C8</f>
        <v>278674.15000000002</v>
      </c>
      <c r="E8" s="544"/>
      <c r="F8" s="474" t="str">
        <f t="shared" si="0"/>
        <v>----</v>
      </c>
      <c r="G8" s="544"/>
      <c r="H8" s="474" t="str">
        <f t="shared" si="1"/>
        <v>----</v>
      </c>
      <c r="I8" s="539"/>
      <c r="J8" s="83" t="str">
        <f t="shared" si="2"/>
        <v>----</v>
      </c>
    </row>
    <row r="9" spans="1:11">
      <c r="A9" s="120">
        <v>45853</v>
      </c>
      <c r="B9" s="121" t="s">
        <v>892</v>
      </c>
      <c r="C9" s="731">
        <v>857116.9</v>
      </c>
      <c r="D9" s="555">
        <f>C9</f>
        <v>857116.9</v>
      </c>
      <c r="E9" s="544"/>
      <c r="F9" s="474" t="str">
        <f t="shared" si="0"/>
        <v>----</v>
      </c>
      <c r="G9" s="544"/>
      <c r="H9" s="474" t="str">
        <f t="shared" si="1"/>
        <v>----</v>
      </c>
      <c r="I9" s="539"/>
      <c r="J9" s="83" t="str">
        <f t="shared" si="2"/>
        <v>----</v>
      </c>
    </row>
    <row r="10" spans="1:11">
      <c r="A10" s="120"/>
      <c r="B10" s="121"/>
      <c r="C10" s="231"/>
      <c r="D10" s="555"/>
      <c r="E10" s="544"/>
      <c r="F10" s="474" t="str">
        <f t="shared" si="0"/>
        <v>----</v>
      </c>
      <c r="G10" s="544"/>
      <c r="H10" s="474" t="str">
        <f t="shared" si="1"/>
        <v>----</v>
      </c>
      <c r="I10" s="539"/>
      <c r="J10" s="83" t="str">
        <f t="shared" si="2"/>
        <v>----</v>
      </c>
    </row>
    <row r="11" spans="1:11">
      <c r="A11" s="120"/>
      <c r="B11" s="121"/>
      <c r="C11" s="231"/>
      <c r="D11" s="555"/>
      <c r="E11" s="544"/>
      <c r="F11" s="474" t="str">
        <f t="shared" si="0"/>
        <v>----</v>
      </c>
      <c r="G11" s="544"/>
      <c r="H11" s="474" t="str">
        <f t="shared" si="1"/>
        <v>----</v>
      </c>
      <c r="I11" s="539"/>
      <c r="J11" s="83" t="str">
        <f t="shared" si="2"/>
        <v>----</v>
      </c>
    </row>
    <row r="12" spans="1:11">
      <c r="A12" s="120"/>
      <c r="B12" s="121"/>
      <c r="C12" s="231"/>
      <c r="D12" s="555"/>
      <c r="E12" s="544"/>
      <c r="F12" s="474" t="str">
        <f t="shared" si="0"/>
        <v>----</v>
      </c>
      <c r="G12" s="544"/>
      <c r="H12" s="474" t="str">
        <f t="shared" si="1"/>
        <v>----</v>
      </c>
      <c r="I12" s="539"/>
      <c r="J12" s="83" t="str">
        <f t="shared" si="2"/>
        <v>----</v>
      </c>
    </row>
    <row r="13" spans="1:11">
      <c r="A13" s="120"/>
      <c r="B13" s="121"/>
      <c r="C13" s="231"/>
      <c r="D13" s="555"/>
      <c r="E13" s="544"/>
      <c r="F13" s="474" t="str">
        <f t="shared" si="0"/>
        <v>----</v>
      </c>
      <c r="G13" s="544"/>
      <c r="H13" s="474" t="str">
        <f t="shared" si="1"/>
        <v>----</v>
      </c>
      <c r="I13" s="539"/>
      <c r="J13" s="83" t="str">
        <f t="shared" si="2"/>
        <v>----</v>
      </c>
    </row>
    <row r="14" spans="1:11">
      <c r="A14" s="120"/>
      <c r="B14" s="121"/>
      <c r="C14" s="231"/>
      <c r="D14" s="555"/>
      <c r="E14" s="544"/>
      <c r="F14" s="474" t="str">
        <f t="shared" si="0"/>
        <v>----</v>
      </c>
      <c r="G14" s="544"/>
      <c r="H14" s="474" t="str">
        <f t="shared" si="1"/>
        <v>----</v>
      </c>
      <c r="I14" s="539"/>
      <c r="J14" s="83" t="str">
        <f t="shared" si="2"/>
        <v>----</v>
      </c>
    </row>
    <row r="15" spans="1:11">
      <c r="A15" s="120"/>
      <c r="B15" s="121"/>
      <c r="C15" s="231"/>
      <c r="D15" s="555"/>
      <c r="E15" s="544"/>
      <c r="F15" s="474" t="str">
        <f t="shared" si="0"/>
        <v>----</v>
      </c>
      <c r="G15" s="544"/>
      <c r="H15" s="474" t="str">
        <f t="shared" si="1"/>
        <v>----</v>
      </c>
      <c r="I15" s="539"/>
      <c r="J15" s="83" t="str">
        <f t="shared" si="2"/>
        <v>----</v>
      </c>
    </row>
    <row r="16" spans="1:11">
      <c r="A16" s="120"/>
      <c r="B16" s="121"/>
      <c r="C16" s="231"/>
      <c r="D16" s="555"/>
      <c r="E16" s="544"/>
      <c r="F16" s="474" t="str">
        <f t="shared" si="0"/>
        <v>----</v>
      </c>
      <c r="G16" s="544"/>
      <c r="H16" s="474" t="str">
        <f t="shared" si="1"/>
        <v>----</v>
      </c>
      <c r="I16" s="539"/>
      <c r="J16" s="83" t="str">
        <f t="shared" si="2"/>
        <v>----</v>
      </c>
    </row>
    <row r="17" spans="1:10">
      <c r="A17" s="120"/>
      <c r="B17" s="121"/>
      <c r="C17" s="231"/>
      <c r="D17" s="555"/>
      <c r="E17" s="544"/>
      <c r="F17" s="474" t="str">
        <f t="shared" si="0"/>
        <v>----</v>
      </c>
      <c r="G17" s="544"/>
      <c r="H17" s="474" t="str">
        <f t="shared" si="1"/>
        <v>----</v>
      </c>
      <c r="I17" s="539"/>
      <c r="J17" s="83" t="str">
        <f t="shared" si="2"/>
        <v>----</v>
      </c>
    </row>
    <row r="18" spans="1:10">
      <c r="A18" s="120"/>
      <c r="B18" s="121"/>
      <c r="C18" s="231"/>
      <c r="D18" s="555"/>
      <c r="E18" s="544"/>
      <c r="F18" s="474" t="str">
        <f t="shared" si="0"/>
        <v>----</v>
      </c>
      <c r="G18" s="544"/>
      <c r="H18" s="474" t="str">
        <f t="shared" si="1"/>
        <v>----</v>
      </c>
      <c r="I18" s="539"/>
      <c r="J18" s="83" t="str">
        <f t="shared" si="2"/>
        <v>----</v>
      </c>
    </row>
    <row r="19" spans="1:10">
      <c r="A19" s="120"/>
      <c r="B19" s="121"/>
      <c r="C19" s="231"/>
      <c r="D19" s="555"/>
      <c r="E19" s="544"/>
      <c r="F19" s="474" t="str">
        <f t="shared" si="0"/>
        <v>----</v>
      </c>
      <c r="G19" s="544"/>
      <c r="H19" s="474" t="str">
        <f t="shared" si="1"/>
        <v>----</v>
      </c>
      <c r="I19" s="539"/>
      <c r="J19" s="83" t="str">
        <f t="shared" si="2"/>
        <v>----</v>
      </c>
    </row>
    <row r="20" spans="1:10">
      <c r="A20" s="120"/>
      <c r="B20" s="121"/>
      <c r="C20" s="231"/>
      <c r="D20" s="555"/>
      <c r="E20" s="544"/>
      <c r="F20" s="474" t="str">
        <f t="shared" si="0"/>
        <v>----</v>
      </c>
      <c r="G20" s="544"/>
      <c r="H20" s="474" t="str">
        <f t="shared" si="1"/>
        <v>----</v>
      </c>
      <c r="I20" s="539"/>
      <c r="J20" s="83" t="str">
        <f t="shared" si="2"/>
        <v>----</v>
      </c>
    </row>
    <row r="21" spans="1:10">
      <c r="A21" s="120"/>
      <c r="B21" s="121"/>
      <c r="C21" s="231"/>
      <c r="D21" s="555"/>
      <c r="E21" s="544"/>
      <c r="F21" s="474" t="str">
        <f t="shared" si="0"/>
        <v>----</v>
      </c>
      <c r="G21" s="544"/>
      <c r="H21" s="474" t="str">
        <f t="shared" si="1"/>
        <v>----</v>
      </c>
      <c r="I21" s="539"/>
      <c r="J21" s="83" t="str">
        <f t="shared" si="2"/>
        <v>----</v>
      </c>
    </row>
    <row r="22" spans="1:10">
      <c r="A22" s="120"/>
      <c r="B22" s="121"/>
      <c r="C22" s="231"/>
      <c r="D22" s="555"/>
      <c r="E22" s="544"/>
      <c r="F22" s="474" t="str">
        <f t="shared" si="0"/>
        <v>----</v>
      </c>
      <c r="G22" s="544"/>
      <c r="H22" s="474" t="str">
        <f t="shared" si="1"/>
        <v>----</v>
      </c>
      <c r="I22" s="539"/>
      <c r="J22" s="83" t="str">
        <f t="shared" si="2"/>
        <v>----</v>
      </c>
    </row>
    <row r="23" spans="1:10">
      <c r="A23" s="120"/>
      <c r="B23" s="121"/>
      <c r="C23" s="231"/>
      <c r="D23" s="555"/>
      <c r="E23" s="544"/>
      <c r="F23" s="474" t="str">
        <f t="shared" si="0"/>
        <v>----</v>
      </c>
      <c r="G23" s="544"/>
      <c r="H23" s="474" t="str">
        <f t="shared" si="1"/>
        <v>----</v>
      </c>
      <c r="I23" s="539"/>
      <c r="J23" s="83" t="str">
        <f t="shared" si="2"/>
        <v>----</v>
      </c>
    </row>
    <row r="24" spans="1:10">
      <c r="A24" s="120"/>
      <c r="B24" s="121"/>
      <c r="C24" s="231"/>
      <c r="D24" s="555"/>
      <c r="E24" s="544"/>
      <c r="F24" s="474" t="str">
        <f t="shared" si="0"/>
        <v>----</v>
      </c>
      <c r="G24" s="544"/>
      <c r="H24" s="474" t="str">
        <f t="shared" si="1"/>
        <v>----</v>
      </c>
      <c r="I24" s="539"/>
      <c r="J24" s="83" t="str">
        <f t="shared" si="2"/>
        <v>----</v>
      </c>
    </row>
    <row r="25" spans="1:10">
      <c r="A25" s="120"/>
      <c r="B25" s="121"/>
      <c r="C25" s="231"/>
      <c r="D25" s="555"/>
      <c r="E25" s="544"/>
      <c r="F25" s="474" t="str">
        <f t="shared" si="0"/>
        <v>----</v>
      </c>
      <c r="G25" s="544"/>
      <c r="H25" s="474" t="str">
        <f t="shared" si="1"/>
        <v>----</v>
      </c>
      <c r="I25" s="539"/>
      <c r="J25" s="83" t="str">
        <f t="shared" si="2"/>
        <v>----</v>
      </c>
    </row>
    <row r="26" spans="1:10">
      <c r="A26" s="120"/>
      <c r="B26" s="121"/>
      <c r="C26" s="231"/>
      <c r="D26" s="555"/>
      <c r="E26" s="544"/>
      <c r="F26" s="474" t="str">
        <f t="shared" si="0"/>
        <v>----</v>
      </c>
      <c r="G26" s="544"/>
      <c r="H26" s="474" t="str">
        <f t="shared" si="1"/>
        <v>----</v>
      </c>
      <c r="I26" s="539"/>
      <c r="J26" s="83" t="str">
        <f t="shared" si="2"/>
        <v>----</v>
      </c>
    </row>
    <row r="27" spans="1:10">
      <c r="A27" s="123"/>
      <c r="B27" s="124"/>
      <c r="C27" s="232"/>
      <c r="D27" s="556"/>
      <c r="E27" s="545"/>
      <c r="F27" s="474" t="str">
        <f t="shared" si="0"/>
        <v>----</v>
      </c>
      <c r="G27" s="545"/>
      <c r="H27" s="474" t="str">
        <f t="shared" si="1"/>
        <v>----</v>
      </c>
      <c r="I27" s="540"/>
      <c r="J27" s="83" t="str">
        <f t="shared" si="2"/>
        <v>----</v>
      </c>
    </row>
    <row r="28" spans="1:10" ht="15.75" thickBot="1">
      <c r="A28" s="109"/>
      <c r="B28" s="75"/>
      <c r="C28" s="106"/>
      <c r="D28" s="536"/>
      <c r="E28" s="546"/>
      <c r="F28" s="478" t="str">
        <f t="shared" si="0"/>
        <v>----</v>
      </c>
      <c r="G28" s="546"/>
      <c r="H28" s="478" t="str">
        <f t="shared" si="1"/>
        <v>----</v>
      </c>
      <c r="I28" s="541"/>
      <c r="J28" s="77" t="str">
        <f t="shared" si="2"/>
        <v>----</v>
      </c>
    </row>
    <row r="29" spans="1:10" ht="15.75" thickBot="1">
      <c r="A29" s="27"/>
      <c r="B29" s="27"/>
      <c r="C29" s="28"/>
      <c r="D29" s="28"/>
      <c r="E29" s="441"/>
      <c r="F29" s="443">
        <f>SUM(F4:F28)</f>
        <v>-12390.550000000134</v>
      </c>
      <c r="G29" s="441"/>
      <c r="H29" s="443">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4"/>
    <col min="6" max="6" width="13.85546875" style="434" customWidth="1"/>
    <col min="7" max="7" width="10.7109375" style="434" bestFit="1" customWidth="1"/>
    <col min="8" max="8" width="13.85546875" style="434" customWidth="1"/>
    <col min="10" max="10" width="13.85546875" customWidth="1"/>
  </cols>
  <sheetData>
    <row r="1" spans="1:11" ht="15.75" thickBot="1">
      <c r="A1" s="958" t="s">
        <v>288</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44635</v>
      </c>
      <c r="B4" s="71" t="s">
        <v>505</v>
      </c>
      <c r="C4" s="787">
        <v>969749.6</v>
      </c>
      <c r="D4" s="793">
        <f>C4</f>
        <v>969749.6</v>
      </c>
      <c r="E4" s="800"/>
      <c r="F4" s="809" t="str">
        <f t="shared" ref="F4:F27" si="0">IF(ISBLANK(E4),"----",E4-D4)</f>
        <v>----</v>
      </c>
      <c r="G4" s="800">
        <v>981306.57</v>
      </c>
      <c r="H4" s="809">
        <f t="shared" ref="H4:H27" si="1">IF(OR(G4="Complete",ISBLANK(G4)),"----",G4-$D4)</f>
        <v>11556.969999999972</v>
      </c>
      <c r="I4" s="797" t="s">
        <v>703</v>
      </c>
      <c r="J4" s="810" t="str">
        <f t="shared" ref="J4:J27" si="2">IF(OR(I4="Complete",ISBLANK(I4)),"----",I4-$D4)</f>
        <v>----</v>
      </c>
      <c r="K4" s="22"/>
    </row>
    <row r="5" spans="1:11">
      <c r="A5" s="88">
        <v>45679</v>
      </c>
      <c r="B5" s="703" t="s">
        <v>827</v>
      </c>
      <c r="C5" s="790">
        <v>626193.72</v>
      </c>
      <c r="D5" s="794">
        <f>C5</f>
        <v>626193.72</v>
      </c>
      <c r="E5" s="801"/>
      <c r="F5" s="813" t="str">
        <f t="shared" si="0"/>
        <v>----</v>
      </c>
      <c r="G5" s="801"/>
      <c r="H5" s="813" t="str">
        <f t="shared" si="1"/>
        <v>----</v>
      </c>
      <c r="I5" s="798"/>
      <c r="J5" s="814" t="str">
        <f t="shared" si="2"/>
        <v>----</v>
      </c>
    </row>
    <row r="6" spans="1:11">
      <c r="A6" s="88"/>
      <c r="B6" s="101"/>
      <c r="C6" s="790"/>
      <c r="D6" s="794"/>
      <c r="E6" s="801"/>
      <c r="F6" s="813" t="str">
        <f t="shared" si="0"/>
        <v>----</v>
      </c>
      <c r="G6" s="801"/>
      <c r="H6" s="813" t="str">
        <f t="shared" si="1"/>
        <v>----</v>
      </c>
      <c r="I6" s="798"/>
      <c r="J6" s="814" t="str">
        <f t="shared" si="2"/>
        <v>----</v>
      </c>
    </row>
    <row r="7" spans="1:11">
      <c r="A7" s="88"/>
      <c r="B7" s="101"/>
      <c r="C7" s="790"/>
      <c r="D7" s="794"/>
      <c r="E7" s="801"/>
      <c r="F7" s="813" t="str">
        <f t="shared" si="0"/>
        <v>----</v>
      </c>
      <c r="G7" s="801"/>
      <c r="H7" s="813" t="str">
        <f t="shared" si="1"/>
        <v>----</v>
      </c>
      <c r="I7" s="798"/>
      <c r="J7" s="814" t="str">
        <f t="shared" si="2"/>
        <v>----</v>
      </c>
    </row>
    <row r="8" spans="1:11">
      <c r="A8" s="88"/>
      <c r="B8" s="101"/>
      <c r="C8" s="790"/>
      <c r="D8" s="794"/>
      <c r="E8" s="801"/>
      <c r="F8" s="813" t="str">
        <f t="shared" si="0"/>
        <v>----</v>
      </c>
      <c r="G8" s="801"/>
      <c r="H8" s="813" t="str">
        <f t="shared" si="1"/>
        <v>----</v>
      </c>
      <c r="I8" s="798"/>
      <c r="J8" s="814" t="str">
        <f t="shared" si="2"/>
        <v>----</v>
      </c>
    </row>
    <row r="9" spans="1:11">
      <c r="A9" s="88"/>
      <c r="B9" s="101"/>
      <c r="C9" s="790"/>
      <c r="D9" s="794"/>
      <c r="E9" s="801"/>
      <c r="F9" s="813" t="str">
        <f t="shared" si="0"/>
        <v>----</v>
      </c>
      <c r="G9" s="801"/>
      <c r="H9" s="813" t="str">
        <f t="shared" si="1"/>
        <v>----</v>
      </c>
      <c r="I9" s="798"/>
      <c r="J9" s="814" t="str">
        <f t="shared" si="2"/>
        <v>----</v>
      </c>
    </row>
    <row r="10" spans="1:11">
      <c r="A10" s="88"/>
      <c r="B10" s="101"/>
      <c r="C10" s="790"/>
      <c r="D10" s="794"/>
      <c r="E10" s="801"/>
      <c r="F10" s="813" t="str">
        <f t="shared" si="0"/>
        <v>----</v>
      </c>
      <c r="G10" s="801"/>
      <c r="H10" s="813" t="str">
        <f t="shared" si="1"/>
        <v>----</v>
      </c>
      <c r="I10" s="798"/>
      <c r="J10" s="814" t="str">
        <f t="shared" si="2"/>
        <v>----</v>
      </c>
    </row>
    <row r="11" spans="1:11">
      <c r="A11" s="88"/>
      <c r="B11" s="101"/>
      <c r="C11" s="790"/>
      <c r="D11" s="794"/>
      <c r="E11" s="801"/>
      <c r="F11" s="813" t="str">
        <f t="shared" si="0"/>
        <v>----</v>
      </c>
      <c r="G11" s="801"/>
      <c r="H11" s="813" t="str">
        <f t="shared" si="1"/>
        <v>----</v>
      </c>
      <c r="I11" s="798"/>
      <c r="J11" s="814" t="str">
        <f t="shared" si="2"/>
        <v>----</v>
      </c>
    </row>
    <row r="12" spans="1:11">
      <c r="A12" s="88"/>
      <c r="B12" s="101"/>
      <c r="C12" s="790"/>
      <c r="D12" s="794"/>
      <c r="E12" s="801"/>
      <c r="F12" s="813" t="str">
        <f t="shared" si="0"/>
        <v>----</v>
      </c>
      <c r="G12" s="801"/>
      <c r="H12" s="813" t="str">
        <f t="shared" si="1"/>
        <v>----</v>
      </c>
      <c r="I12" s="798"/>
      <c r="J12" s="814" t="str">
        <f t="shared" si="2"/>
        <v>----</v>
      </c>
    </row>
    <row r="13" spans="1:11">
      <c r="A13" s="88"/>
      <c r="B13" s="101"/>
      <c r="C13" s="790"/>
      <c r="D13" s="794"/>
      <c r="E13" s="801"/>
      <c r="F13" s="813" t="str">
        <f t="shared" si="0"/>
        <v>----</v>
      </c>
      <c r="G13" s="801"/>
      <c r="H13" s="813" t="str">
        <f t="shared" si="1"/>
        <v>----</v>
      </c>
      <c r="I13" s="798"/>
      <c r="J13" s="814" t="str">
        <f t="shared" si="2"/>
        <v>----</v>
      </c>
    </row>
    <row r="14" spans="1:11">
      <c r="A14" s="88"/>
      <c r="B14" s="101"/>
      <c r="C14" s="790"/>
      <c r="D14" s="794"/>
      <c r="E14" s="801"/>
      <c r="F14" s="813" t="str">
        <f t="shared" si="0"/>
        <v>----</v>
      </c>
      <c r="G14" s="801"/>
      <c r="H14" s="813" t="str">
        <f t="shared" si="1"/>
        <v>----</v>
      </c>
      <c r="I14" s="798"/>
      <c r="J14" s="814" t="str">
        <f t="shared" si="2"/>
        <v>----</v>
      </c>
    </row>
    <row r="15" spans="1:11">
      <c r="A15" s="88"/>
      <c r="B15" s="101"/>
      <c r="C15" s="790"/>
      <c r="D15" s="794"/>
      <c r="E15" s="801"/>
      <c r="F15" s="813" t="str">
        <f t="shared" si="0"/>
        <v>----</v>
      </c>
      <c r="G15" s="801"/>
      <c r="H15" s="813" t="str">
        <f t="shared" si="1"/>
        <v>----</v>
      </c>
      <c r="I15" s="798"/>
      <c r="J15" s="814" t="str">
        <f t="shared" si="2"/>
        <v>----</v>
      </c>
    </row>
    <row r="16" spans="1:11">
      <c r="A16" s="88"/>
      <c r="B16" s="101"/>
      <c r="C16" s="790"/>
      <c r="D16" s="794"/>
      <c r="E16" s="801"/>
      <c r="F16" s="813" t="str">
        <f t="shared" si="0"/>
        <v>----</v>
      </c>
      <c r="G16" s="801"/>
      <c r="H16" s="813" t="str">
        <f t="shared" si="1"/>
        <v>----</v>
      </c>
      <c r="I16" s="798"/>
      <c r="J16" s="814" t="str">
        <f t="shared" si="2"/>
        <v>----</v>
      </c>
    </row>
    <row r="17" spans="1:10">
      <c r="A17" s="88"/>
      <c r="B17" s="101"/>
      <c r="C17" s="790"/>
      <c r="D17" s="794"/>
      <c r="E17" s="801"/>
      <c r="F17" s="813" t="str">
        <f t="shared" si="0"/>
        <v>----</v>
      </c>
      <c r="G17" s="801"/>
      <c r="H17" s="813" t="str">
        <f t="shared" si="1"/>
        <v>----</v>
      </c>
      <c r="I17" s="798"/>
      <c r="J17" s="814" t="str">
        <f t="shared" si="2"/>
        <v>----</v>
      </c>
    </row>
    <row r="18" spans="1:10">
      <c r="A18" s="88"/>
      <c r="B18" s="101"/>
      <c r="C18" s="790"/>
      <c r="D18" s="794"/>
      <c r="E18" s="801"/>
      <c r="F18" s="813" t="str">
        <f t="shared" si="0"/>
        <v>----</v>
      </c>
      <c r="G18" s="801"/>
      <c r="H18" s="813" t="str">
        <f t="shared" si="1"/>
        <v>----</v>
      </c>
      <c r="I18" s="798"/>
      <c r="J18" s="814" t="str">
        <f t="shared" si="2"/>
        <v>----</v>
      </c>
    </row>
    <row r="19" spans="1:10">
      <c r="A19" s="88"/>
      <c r="B19" s="101"/>
      <c r="C19" s="790"/>
      <c r="D19" s="794"/>
      <c r="E19" s="801"/>
      <c r="F19" s="813" t="str">
        <f t="shared" si="0"/>
        <v>----</v>
      </c>
      <c r="G19" s="801"/>
      <c r="H19" s="813" t="str">
        <f t="shared" si="1"/>
        <v>----</v>
      </c>
      <c r="I19" s="798"/>
      <c r="J19" s="814" t="str">
        <f t="shared" si="2"/>
        <v>----</v>
      </c>
    </row>
    <row r="20" spans="1:10">
      <c r="A20" s="88"/>
      <c r="B20" s="101"/>
      <c r="C20" s="790"/>
      <c r="D20" s="794"/>
      <c r="E20" s="801"/>
      <c r="F20" s="813" t="str">
        <f t="shared" si="0"/>
        <v>----</v>
      </c>
      <c r="G20" s="801"/>
      <c r="H20" s="813" t="str">
        <f t="shared" si="1"/>
        <v>----</v>
      </c>
      <c r="I20" s="798"/>
      <c r="J20" s="814" t="str">
        <f t="shared" si="2"/>
        <v>----</v>
      </c>
    </row>
    <row r="21" spans="1:10">
      <c r="A21" s="88"/>
      <c r="B21" s="101"/>
      <c r="C21" s="790"/>
      <c r="D21" s="794"/>
      <c r="E21" s="801"/>
      <c r="F21" s="813" t="str">
        <f t="shared" si="0"/>
        <v>----</v>
      </c>
      <c r="G21" s="801"/>
      <c r="H21" s="813" t="str">
        <f t="shared" si="1"/>
        <v>----</v>
      </c>
      <c r="I21" s="798"/>
      <c r="J21" s="814" t="str">
        <f t="shared" si="2"/>
        <v>----</v>
      </c>
    </row>
    <row r="22" spans="1:10">
      <c r="A22" s="88"/>
      <c r="B22" s="101"/>
      <c r="C22" s="790"/>
      <c r="D22" s="794"/>
      <c r="E22" s="801"/>
      <c r="F22" s="813" t="str">
        <f t="shared" si="0"/>
        <v>----</v>
      </c>
      <c r="G22" s="801"/>
      <c r="H22" s="813" t="str">
        <f t="shared" si="1"/>
        <v>----</v>
      </c>
      <c r="I22" s="798"/>
      <c r="J22" s="814" t="str">
        <f t="shared" si="2"/>
        <v>----</v>
      </c>
    </row>
    <row r="23" spans="1:10">
      <c r="A23" s="88"/>
      <c r="B23" s="101"/>
      <c r="C23" s="790"/>
      <c r="D23" s="794"/>
      <c r="E23" s="801"/>
      <c r="F23" s="813" t="str">
        <f t="shared" si="0"/>
        <v>----</v>
      </c>
      <c r="G23" s="801"/>
      <c r="H23" s="813" t="str">
        <f t="shared" si="1"/>
        <v>----</v>
      </c>
      <c r="I23" s="798"/>
      <c r="J23" s="814" t="str">
        <f t="shared" si="2"/>
        <v>----</v>
      </c>
    </row>
    <row r="24" spans="1:10">
      <c r="A24" s="88"/>
      <c r="B24" s="101"/>
      <c r="C24" s="790"/>
      <c r="D24" s="794"/>
      <c r="E24" s="801"/>
      <c r="F24" s="813" t="str">
        <f t="shared" si="0"/>
        <v>----</v>
      </c>
      <c r="G24" s="801"/>
      <c r="H24" s="813" t="str">
        <f t="shared" si="1"/>
        <v>----</v>
      </c>
      <c r="I24" s="798"/>
      <c r="J24" s="814" t="str">
        <f t="shared" si="2"/>
        <v>----</v>
      </c>
    </row>
    <row r="25" spans="1:10">
      <c r="A25" s="88"/>
      <c r="B25" s="101"/>
      <c r="C25" s="790"/>
      <c r="D25" s="794"/>
      <c r="E25" s="801"/>
      <c r="F25" s="813" t="str">
        <f t="shared" si="0"/>
        <v>----</v>
      </c>
      <c r="G25" s="801"/>
      <c r="H25" s="813" t="str">
        <f t="shared" si="1"/>
        <v>----</v>
      </c>
      <c r="I25" s="798"/>
      <c r="J25" s="814" t="str">
        <f t="shared" si="2"/>
        <v>----</v>
      </c>
    </row>
    <row r="26" spans="1:10">
      <c r="A26" s="88"/>
      <c r="B26" s="101"/>
      <c r="C26" s="790"/>
      <c r="D26" s="794"/>
      <c r="E26" s="801"/>
      <c r="F26" s="813" t="str">
        <f t="shared" si="0"/>
        <v>----</v>
      </c>
      <c r="G26" s="801"/>
      <c r="H26" s="813" t="str">
        <f t="shared" si="1"/>
        <v>----</v>
      </c>
      <c r="I26" s="798"/>
      <c r="J26" s="814" t="str">
        <f t="shared" si="2"/>
        <v>----</v>
      </c>
    </row>
    <row r="27" spans="1:10" ht="15.75" thickBot="1">
      <c r="A27" s="74"/>
      <c r="B27" s="75"/>
      <c r="C27" s="789"/>
      <c r="D27" s="796"/>
      <c r="E27" s="802"/>
      <c r="F27" s="807" t="str">
        <f t="shared" si="0"/>
        <v>----</v>
      </c>
      <c r="G27" s="802"/>
      <c r="H27" s="807" t="str">
        <f t="shared" si="1"/>
        <v>----</v>
      </c>
      <c r="I27" s="799"/>
      <c r="J27" s="808" t="str">
        <f t="shared" si="2"/>
        <v>----</v>
      </c>
    </row>
    <row r="28" spans="1:10" ht="15.75" thickBot="1">
      <c r="A28" s="27"/>
      <c r="B28" s="27"/>
      <c r="C28" s="820"/>
      <c r="D28" s="820"/>
      <c r="E28" s="820"/>
      <c r="F28" s="821">
        <f>SUM(F4:F27)</f>
        <v>0</v>
      </c>
      <c r="G28" s="820"/>
      <c r="H28" s="821">
        <f>SUM(H4:H27)</f>
        <v>11556.969999999972</v>
      </c>
      <c r="I28" s="820"/>
      <c r="J28" s="821">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4" bestFit="1" customWidth="1"/>
    <col min="6" max="6" width="10.42578125" style="434" bestFit="1" customWidth="1"/>
    <col min="7" max="7" width="10.7109375" style="434" bestFit="1" customWidth="1"/>
    <col min="8" max="8" width="10.42578125" style="434" bestFit="1" customWidth="1"/>
    <col min="9" max="9" width="10.7109375" bestFit="1" customWidth="1"/>
    <col min="10" max="10" width="10.42578125" bestFit="1" customWidth="1"/>
  </cols>
  <sheetData>
    <row r="1" spans="1:11" ht="15.75" thickBot="1">
      <c r="A1" s="958" t="s">
        <v>188</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70">
        <v>43852</v>
      </c>
      <c r="B4" s="71" t="s">
        <v>189</v>
      </c>
      <c r="C4" s="72">
        <v>328686.63</v>
      </c>
      <c r="D4" s="431">
        <f>C4</f>
        <v>328686.63</v>
      </c>
      <c r="E4" s="471">
        <v>340322.04</v>
      </c>
      <c r="F4" s="472">
        <f t="shared" ref="F4:F19" si="0">IF(ISBLANK(E4),"----",E4-D4)</f>
        <v>11635.409999999974</v>
      </c>
      <c r="G4" s="471" t="s">
        <v>703</v>
      </c>
      <c r="H4" s="472" t="str">
        <f t="shared" ref="H4:H19" si="1">IF(OR(G4="Complete",ISBLANK(G4)),"----",G4-$D4)</f>
        <v>----</v>
      </c>
      <c r="I4" s="481" t="s">
        <v>703</v>
      </c>
      <c r="J4" s="73" t="str">
        <f t="shared" ref="J4:J19" si="2">IF(OR(I4="Complete",ISBLANK(I4)),"----",I4-$D4)</f>
        <v>----</v>
      </c>
    </row>
    <row r="5" spans="1:11">
      <c r="A5" s="88">
        <v>43852</v>
      </c>
      <c r="B5" s="101" t="s">
        <v>190</v>
      </c>
      <c r="C5" s="82">
        <v>313983.13</v>
      </c>
      <c r="D5" s="433">
        <f>C5</f>
        <v>313983.13</v>
      </c>
      <c r="E5" s="473">
        <v>333965.59000000003</v>
      </c>
      <c r="F5" s="474">
        <f t="shared" si="0"/>
        <v>19982.460000000021</v>
      </c>
      <c r="G5" s="473" t="s">
        <v>703</v>
      </c>
      <c r="H5" s="474" t="str">
        <f t="shared" si="1"/>
        <v>----</v>
      </c>
      <c r="I5" s="486" t="s">
        <v>703</v>
      </c>
      <c r="J5" s="83" t="str">
        <f t="shared" si="2"/>
        <v>----</v>
      </c>
    </row>
    <row r="6" spans="1:11">
      <c r="A6" s="102">
        <v>44124</v>
      </c>
      <c r="B6" s="103" t="s">
        <v>321</v>
      </c>
      <c r="C6" s="87">
        <v>945560.95</v>
      </c>
      <c r="D6" s="468">
        <f>C6</f>
        <v>945560.95</v>
      </c>
      <c r="E6" s="475">
        <v>964026.48</v>
      </c>
      <c r="F6" s="474">
        <f t="shared" si="0"/>
        <v>18465.530000000028</v>
      </c>
      <c r="G6" s="475" t="s">
        <v>703</v>
      </c>
      <c r="H6" s="474" t="str">
        <f t="shared" si="1"/>
        <v>----</v>
      </c>
      <c r="I6" s="488" t="s">
        <v>703</v>
      </c>
      <c r="J6" s="83" t="str">
        <f t="shared" si="2"/>
        <v>----</v>
      </c>
    </row>
    <row r="7" spans="1:11">
      <c r="A7" s="130">
        <v>44153</v>
      </c>
      <c r="B7" s="103" t="s">
        <v>344</v>
      </c>
      <c r="C7" s="87">
        <v>266083.8</v>
      </c>
      <c r="D7" s="468">
        <f>C7</f>
        <v>266083.8</v>
      </c>
      <c r="E7" s="475">
        <v>263462.09999999998</v>
      </c>
      <c r="F7" s="474">
        <f t="shared" si="0"/>
        <v>-2621.7000000000116</v>
      </c>
      <c r="G7" s="475" t="s">
        <v>703</v>
      </c>
      <c r="H7" s="474" t="str">
        <f t="shared" si="1"/>
        <v>----</v>
      </c>
      <c r="I7" s="488" t="s">
        <v>703</v>
      </c>
      <c r="J7" s="83" t="str">
        <f t="shared" si="2"/>
        <v>----</v>
      </c>
    </row>
    <row r="8" spans="1:11">
      <c r="A8" s="102">
        <v>44153</v>
      </c>
      <c r="B8" s="103" t="s">
        <v>345</v>
      </c>
      <c r="C8" s="87">
        <v>391936.2</v>
      </c>
      <c r="D8" s="468">
        <f>C8</f>
        <v>391936.2</v>
      </c>
      <c r="E8" s="475">
        <v>365725.49</v>
      </c>
      <c r="F8" s="474">
        <f t="shared" si="0"/>
        <v>-26210.710000000021</v>
      </c>
      <c r="G8" s="475" t="s">
        <v>703</v>
      </c>
      <c r="H8" s="474" t="str">
        <f t="shared" si="1"/>
        <v>----</v>
      </c>
      <c r="I8" s="488" t="s">
        <v>703</v>
      </c>
      <c r="J8" s="83" t="str">
        <f t="shared" si="2"/>
        <v>----</v>
      </c>
    </row>
    <row r="9" spans="1:11">
      <c r="A9" s="976">
        <v>44271</v>
      </c>
      <c r="B9" s="103" t="s">
        <v>410</v>
      </c>
      <c r="C9" s="87">
        <v>102512.25</v>
      </c>
      <c r="D9" s="468">
        <v>47892.25</v>
      </c>
      <c r="E9" s="475"/>
      <c r="F9" s="474" t="str">
        <f t="shared" si="0"/>
        <v>----</v>
      </c>
      <c r="G9" s="475"/>
      <c r="H9" s="474" t="str">
        <f t="shared" si="1"/>
        <v>----</v>
      </c>
      <c r="I9" s="488"/>
      <c r="J9" s="83" t="str">
        <f t="shared" si="2"/>
        <v>----</v>
      </c>
    </row>
    <row r="10" spans="1:11">
      <c r="A10" s="978"/>
      <c r="B10" s="103" t="s">
        <v>411</v>
      </c>
      <c r="C10" s="87">
        <v>151726.25</v>
      </c>
      <c r="D10" s="510">
        <v>0</v>
      </c>
      <c r="E10" s="475">
        <v>0</v>
      </c>
      <c r="F10" s="474">
        <f t="shared" si="0"/>
        <v>0</v>
      </c>
      <c r="G10" s="475">
        <v>0</v>
      </c>
      <c r="H10" s="474">
        <f t="shared" si="1"/>
        <v>0</v>
      </c>
      <c r="I10" s="488">
        <v>0</v>
      </c>
      <c r="J10" s="83">
        <f t="shared" si="2"/>
        <v>0</v>
      </c>
      <c r="K10" s="426" t="s">
        <v>700</v>
      </c>
    </row>
    <row r="11" spans="1:11">
      <c r="A11" s="102">
        <v>44516</v>
      </c>
      <c r="B11" s="103" t="s">
        <v>472</v>
      </c>
      <c r="C11" s="87">
        <v>283612.98</v>
      </c>
      <c r="D11" s="468">
        <f>C11</f>
        <v>283612.98</v>
      </c>
      <c r="E11" s="475">
        <v>282754.26</v>
      </c>
      <c r="F11" s="474">
        <f t="shared" si="0"/>
        <v>-858.71999999997206</v>
      </c>
      <c r="G11" s="475" t="s">
        <v>703</v>
      </c>
      <c r="H11" s="474" t="str">
        <f t="shared" si="1"/>
        <v>----</v>
      </c>
      <c r="I11" s="488" t="s">
        <v>703</v>
      </c>
      <c r="J11" s="83" t="str">
        <f t="shared" si="2"/>
        <v>----</v>
      </c>
    </row>
    <row r="12" spans="1:11">
      <c r="A12" s="102"/>
      <c r="B12" s="103"/>
      <c r="C12" s="87"/>
      <c r="D12" s="468"/>
      <c r="E12" s="475"/>
      <c r="F12" s="474" t="str">
        <f t="shared" si="0"/>
        <v>----</v>
      </c>
      <c r="G12" s="475"/>
      <c r="H12" s="474" t="str">
        <f t="shared" si="1"/>
        <v>----</v>
      </c>
      <c r="I12" s="488"/>
      <c r="J12" s="83" t="str">
        <f t="shared" si="2"/>
        <v>----</v>
      </c>
    </row>
    <row r="13" spans="1:11">
      <c r="A13" s="102"/>
      <c r="B13" s="103"/>
      <c r="C13" s="87"/>
      <c r="D13" s="468"/>
      <c r="E13" s="475"/>
      <c r="F13" s="474" t="str">
        <f t="shared" si="0"/>
        <v>----</v>
      </c>
      <c r="G13" s="475"/>
      <c r="H13" s="474" t="str">
        <f t="shared" si="1"/>
        <v>----</v>
      </c>
      <c r="I13" s="488"/>
      <c r="J13" s="83" t="str">
        <f t="shared" si="2"/>
        <v>----</v>
      </c>
    </row>
    <row r="14" spans="1:11">
      <c r="A14" s="102"/>
      <c r="B14" s="103"/>
      <c r="C14" s="87"/>
      <c r="D14" s="468"/>
      <c r="E14" s="475"/>
      <c r="F14" s="474" t="str">
        <f t="shared" si="0"/>
        <v>----</v>
      </c>
      <c r="G14" s="475"/>
      <c r="H14" s="474" t="str">
        <f t="shared" si="1"/>
        <v>----</v>
      </c>
      <c r="I14" s="488"/>
      <c r="J14" s="83" t="str">
        <f t="shared" si="2"/>
        <v>----</v>
      </c>
    </row>
    <row r="15" spans="1:11">
      <c r="A15" s="102"/>
      <c r="B15" s="103"/>
      <c r="C15" s="87"/>
      <c r="D15" s="468"/>
      <c r="E15" s="475"/>
      <c r="F15" s="474" t="str">
        <f t="shared" si="0"/>
        <v>----</v>
      </c>
      <c r="G15" s="475"/>
      <c r="H15" s="474" t="str">
        <f t="shared" si="1"/>
        <v>----</v>
      </c>
      <c r="I15" s="488"/>
      <c r="J15" s="83" t="str">
        <f t="shared" si="2"/>
        <v>----</v>
      </c>
    </row>
    <row r="16" spans="1:11">
      <c r="A16" s="102"/>
      <c r="B16" s="103"/>
      <c r="C16" s="87"/>
      <c r="D16" s="468"/>
      <c r="E16" s="475"/>
      <c r="F16" s="474" t="str">
        <f t="shared" si="0"/>
        <v>----</v>
      </c>
      <c r="G16" s="475"/>
      <c r="H16" s="474" t="str">
        <f t="shared" si="1"/>
        <v>----</v>
      </c>
      <c r="I16" s="488"/>
      <c r="J16" s="83" t="str">
        <f t="shared" si="2"/>
        <v>----</v>
      </c>
    </row>
    <row r="17" spans="1:10">
      <c r="A17" s="102"/>
      <c r="B17" s="103"/>
      <c r="C17" s="87"/>
      <c r="D17" s="468"/>
      <c r="E17" s="475"/>
      <c r="F17" s="474" t="str">
        <f t="shared" si="0"/>
        <v>----</v>
      </c>
      <c r="G17" s="475"/>
      <c r="H17" s="474" t="str">
        <f t="shared" si="1"/>
        <v>----</v>
      </c>
      <c r="I17" s="488"/>
      <c r="J17" s="83" t="str">
        <f t="shared" si="2"/>
        <v>----</v>
      </c>
    </row>
    <row r="18" spans="1:10">
      <c r="A18" s="116"/>
      <c r="B18" s="117"/>
      <c r="C18" s="118"/>
      <c r="D18" s="469"/>
      <c r="E18" s="476"/>
      <c r="F18" s="474" t="str">
        <f t="shared" si="0"/>
        <v>----</v>
      </c>
      <c r="G18" s="476"/>
      <c r="H18" s="474" t="str">
        <f t="shared" si="1"/>
        <v>----</v>
      </c>
      <c r="I18" s="490"/>
      <c r="J18" s="83" t="str">
        <f t="shared" si="2"/>
        <v>----</v>
      </c>
    </row>
    <row r="19" spans="1:10" ht="15.75" thickBot="1">
      <c r="A19" s="74"/>
      <c r="B19" s="75"/>
      <c r="C19" s="76"/>
      <c r="D19" s="432"/>
      <c r="E19" s="477"/>
      <c r="F19" s="478" t="str">
        <f t="shared" si="0"/>
        <v>----</v>
      </c>
      <c r="G19" s="477"/>
      <c r="H19" s="478" t="str">
        <f t="shared" si="1"/>
        <v>----</v>
      </c>
      <c r="I19" s="483"/>
      <c r="J19" s="77" t="str">
        <f t="shared" si="2"/>
        <v>----</v>
      </c>
    </row>
    <row r="20" spans="1:10" ht="15.75" thickBot="1">
      <c r="A20" s="27"/>
      <c r="B20" s="27"/>
      <c r="C20" s="28"/>
      <c r="D20" s="28"/>
      <c r="E20" s="441"/>
      <c r="F20" s="443">
        <f>SUM(F4:F19)</f>
        <v>20392.270000000019</v>
      </c>
      <c r="G20" s="441"/>
      <c r="H20" s="443">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C8" sqref="C8"/>
    </sheetView>
  </sheetViews>
  <sheetFormatPr defaultRowHeight="15"/>
  <cols>
    <col min="2" max="2" width="20.5703125" bestFit="1" customWidth="1"/>
    <col min="3" max="3" width="10.7109375" bestFit="1" customWidth="1"/>
    <col min="4" max="4" width="13" customWidth="1"/>
    <col min="5" max="5" width="10.7109375" style="434" bestFit="1" customWidth="1"/>
    <col min="6" max="6" width="14.85546875" style="434" customWidth="1"/>
    <col min="7" max="7" width="10.7109375" style="434" bestFit="1" customWidth="1"/>
    <col min="8" max="8" width="14.85546875" style="434" customWidth="1"/>
    <col min="9" max="9" width="10.7109375" bestFit="1" customWidth="1"/>
    <col min="10" max="10" width="14.85546875" customWidth="1"/>
  </cols>
  <sheetData>
    <row r="1" spans="1:10" ht="15.75" thickBot="1">
      <c r="A1" s="958" t="s">
        <v>235</v>
      </c>
      <c r="B1" s="959"/>
      <c r="C1" s="959"/>
      <c r="D1" s="959"/>
      <c r="E1" s="959"/>
      <c r="F1" s="959"/>
      <c r="G1" s="959"/>
      <c r="H1" s="959"/>
      <c r="I1" s="959"/>
      <c r="J1" s="960"/>
    </row>
    <row r="2" spans="1:10" s="434" customFormat="1">
      <c r="A2" s="965" t="s">
        <v>110</v>
      </c>
      <c r="B2" s="967" t="s">
        <v>111</v>
      </c>
      <c r="C2" s="967" t="s">
        <v>112</v>
      </c>
      <c r="D2" s="979" t="s">
        <v>120</v>
      </c>
      <c r="E2" s="963" t="s">
        <v>701</v>
      </c>
      <c r="F2" s="964"/>
      <c r="G2" s="963" t="s">
        <v>702</v>
      </c>
      <c r="H2" s="964"/>
      <c r="I2" s="938" t="s">
        <v>796</v>
      </c>
      <c r="J2" s="939"/>
    </row>
    <row r="3" spans="1:10" ht="46.5" thickBot="1">
      <c r="A3" s="966"/>
      <c r="B3" s="968"/>
      <c r="C3" s="968"/>
      <c r="D3" s="980"/>
      <c r="E3" s="462" t="s">
        <v>121</v>
      </c>
      <c r="F3" s="470" t="s">
        <v>113</v>
      </c>
      <c r="G3" s="462" t="s">
        <v>121</v>
      </c>
      <c r="H3" s="470" t="s">
        <v>113</v>
      </c>
      <c r="I3" s="480" t="s">
        <v>121</v>
      </c>
      <c r="J3" s="25" t="s">
        <v>113</v>
      </c>
    </row>
    <row r="4" spans="1:10">
      <c r="A4" s="70">
        <v>43942</v>
      </c>
      <c r="B4" s="71" t="s">
        <v>236</v>
      </c>
      <c r="C4" s="72">
        <v>259260</v>
      </c>
      <c r="D4" s="431">
        <f>C4</f>
        <v>259260</v>
      </c>
      <c r="E4" s="471"/>
      <c r="F4" s="472" t="str">
        <f t="shared" ref="F4:F25" si="0">IF(ISBLANK(E4),"----",E4-D4)</f>
        <v>----</v>
      </c>
      <c r="G4" s="471"/>
      <c r="H4" s="472" t="str">
        <f t="shared" ref="H4:H25" si="1">IF(OR(G4="Complete",ISBLANK(G4)),"----",G4-$D4)</f>
        <v>----</v>
      </c>
      <c r="I4" s="481"/>
      <c r="J4" s="73" t="str">
        <f t="shared" ref="J4:J25" si="2">IF(OR(I4="Complete",ISBLANK(I4)),"----",I4-$D4)</f>
        <v>----</v>
      </c>
    </row>
    <row r="5" spans="1:10">
      <c r="A5" s="88">
        <v>44516</v>
      </c>
      <c r="B5" s="117" t="s">
        <v>473</v>
      </c>
      <c r="C5" s="82">
        <v>187276.5</v>
      </c>
      <c r="D5" s="433">
        <f>C5</f>
        <v>187276.5</v>
      </c>
      <c r="E5" s="473">
        <v>183140.66</v>
      </c>
      <c r="F5" s="474">
        <f t="shared" si="0"/>
        <v>-4135.8399999999965</v>
      </c>
      <c r="G5" s="473" t="s">
        <v>703</v>
      </c>
      <c r="H5" s="474" t="str">
        <f t="shared" si="1"/>
        <v>----</v>
      </c>
      <c r="I5" s="486" t="s">
        <v>703</v>
      </c>
      <c r="J5" s="83" t="str">
        <f t="shared" si="2"/>
        <v>----</v>
      </c>
    </row>
    <row r="6" spans="1:10">
      <c r="A6" s="102">
        <v>45097</v>
      </c>
      <c r="B6" s="103" t="s">
        <v>654</v>
      </c>
      <c r="C6" s="87">
        <v>461199</v>
      </c>
      <c r="D6" s="468">
        <f>C6</f>
        <v>461199</v>
      </c>
      <c r="E6" s="475"/>
      <c r="F6" s="487" t="str">
        <f t="shared" si="0"/>
        <v>----</v>
      </c>
      <c r="G6" s="475"/>
      <c r="H6" s="487" t="str">
        <f t="shared" si="1"/>
        <v>----</v>
      </c>
      <c r="I6" s="488">
        <v>458187.29</v>
      </c>
      <c r="J6" s="115">
        <f t="shared" si="2"/>
        <v>-3011.710000000021</v>
      </c>
    </row>
    <row r="7" spans="1:10">
      <c r="A7" s="102">
        <v>45308</v>
      </c>
      <c r="B7" s="103" t="s">
        <v>711</v>
      </c>
      <c r="C7" s="87">
        <v>170847</v>
      </c>
      <c r="D7" s="468">
        <f>C7</f>
        <v>170847</v>
      </c>
      <c r="E7" s="475"/>
      <c r="F7" s="487" t="str">
        <f t="shared" si="0"/>
        <v>----</v>
      </c>
      <c r="G7" s="475"/>
      <c r="H7" s="487" t="str">
        <f t="shared" si="1"/>
        <v>----</v>
      </c>
      <c r="I7" s="488"/>
      <c r="J7" s="115" t="str">
        <f t="shared" si="2"/>
        <v>----</v>
      </c>
    </row>
    <row r="8" spans="1:10">
      <c r="A8" s="102">
        <v>45370</v>
      </c>
      <c r="B8" s="103" t="s">
        <v>730</v>
      </c>
      <c r="C8" s="87">
        <v>176952.5</v>
      </c>
      <c r="D8" s="468">
        <f>C8</f>
        <v>176952.5</v>
      </c>
      <c r="E8" s="475"/>
      <c r="F8" s="487" t="str">
        <f t="shared" si="0"/>
        <v>----</v>
      </c>
      <c r="G8" s="475"/>
      <c r="H8" s="487" t="str">
        <f t="shared" si="1"/>
        <v>----</v>
      </c>
      <c r="I8" s="488"/>
      <c r="J8" s="115" t="str">
        <f t="shared" si="2"/>
        <v>----</v>
      </c>
    </row>
    <row r="9" spans="1:10">
      <c r="A9" s="102"/>
      <c r="B9" s="103"/>
      <c r="C9" s="87"/>
      <c r="D9" s="468"/>
      <c r="E9" s="475"/>
      <c r="F9" s="487" t="str">
        <f t="shared" si="0"/>
        <v>----</v>
      </c>
      <c r="G9" s="475"/>
      <c r="H9" s="487" t="str">
        <f t="shared" si="1"/>
        <v>----</v>
      </c>
      <c r="I9" s="488"/>
      <c r="J9" s="115" t="str">
        <f t="shared" si="2"/>
        <v>----</v>
      </c>
    </row>
    <row r="10" spans="1:10">
      <c r="A10" s="102"/>
      <c r="B10" s="103"/>
      <c r="C10" s="87"/>
      <c r="D10" s="468"/>
      <c r="E10" s="475"/>
      <c r="F10" s="487" t="str">
        <f t="shared" si="0"/>
        <v>----</v>
      </c>
      <c r="G10" s="475"/>
      <c r="H10" s="487" t="str">
        <f t="shared" si="1"/>
        <v>----</v>
      </c>
      <c r="I10" s="488"/>
      <c r="J10" s="115" t="str">
        <f t="shared" si="2"/>
        <v>----</v>
      </c>
    </row>
    <row r="11" spans="1:10">
      <c r="A11" s="102"/>
      <c r="B11" s="103"/>
      <c r="C11" s="87"/>
      <c r="D11" s="468"/>
      <c r="E11" s="475"/>
      <c r="F11" s="487" t="str">
        <f t="shared" si="0"/>
        <v>----</v>
      </c>
      <c r="G11" s="475"/>
      <c r="H11" s="487" t="str">
        <f t="shared" si="1"/>
        <v>----</v>
      </c>
      <c r="I11" s="488"/>
      <c r="J11" s="115" t="str">
        <f t="shared" si="2"/>
        <v>----</v>
      </c>
    </row>
    <row r="12" spans="1:10">
      <c r="A12" s="102"/>
      <c r="B12" s="103"/>
      <c r="C12" s="87"/>
      <c r="D12" s="468"/>
      <c r="E12" s="475"/>
      <c r="F12" s="487" t="str">
        <f t="shared" si="0"/>
        <v>----</v>
      </c>
      <c r="G12" s="475"/>
      <c r="H12" s="487" t="str">
        <f t="shared" si="1"/>
        <v>----</v>
      </c>
      <c r="I12" s="488"/>
      <c r="J12" s="115" t="str">
        <f t="shared" si="2"/>
        <v>----</v>
      </c>
    </row>
    <row r="13" spans="1:10">
      <c r="A13" s="102"/>
      <c r="B13" s="103"/>
      <c r="C13" s="87"/>
      <c r="D13" s="468"/>
      <c r="E13" s="475"/>
      <c r="F13" s="487" t="str">
        <f t="shared" si="0"/>
        <v>----</v>
      </c>
      <c r="G13" s="475"/>
      <c r="H13" s="487" t="str">
        <f t="shared" si="1"/>
        <v>----</v>
      </c>
      <c r="I13" s="488"/>
      <c r="J13" s="115" t="str">
        <f t="shared" si="2"/>
        <v>----</v>
      </c>
    </row>
    <row r="14" spans="1:10">
      <c r="A14" s="102"/>
      <c r="B14" s="103"/>
      <c r="C14" s="87"/>
      <c r="D14" s="468"/>
      <c r="E14" s="475"/>
      <c r="F14" s="487" t="str">
        <f t="shared" si="0"/>
        <v>----</v>
      </c>
      <c r="G14" s="475"/>
      <c r="H14" s="487" t="str">
        <f t="shared" si="1"/>
        <v>----</v>
      </c>
      <c r="I14" s="488"/>
      <c r="J14" s="115" t="str">
        <f t="shared" si="2"/>
        <v>----</v>
      </c>
    </row>
    <row r="15" spans="1:10">
      <c r="A15" s="102"/>
      <c r="B15" s="103"/>
      <c r="C15" s="87"/>
      <c r="D15" s="468"/>
      <c r="E15" s="475"/>
      <c r="F15" s="487" t="str">
        <f t="shared" si="0"/>
        <v>----</v>
      </c>
      <c r="G15" s="475"/>
      <c r="H15" s="487" t="str">
        <f t="shared" si="1"/>
        <v>----</v>
      </c>
      <c r="I15" s="488"/>
      <c r="J15" s="115" t="str">
        <f t="shared" si="2"/>
        <v>----</v>
      </c>
    </row>
    <row r="16" spans="1:10">
      <c r="A16" s="102"/>
      <c r="B16" s="103"/>
      <c r="C16" s="87"/>
      <c r="D16" s="468"/>
      <c r="E16" s="475"/>
      <c r="F16" s="487" t="str">
        <f t="shared" si="0"/>
        <v>----</v>
      </c>
      <c r="G16" s="475"/>
      <c r="H16" s="487" t="str">
        <f t="shared" si="1"/>
        <v>----</v>
      </c>
      <c r="I16" s="488"/>
      <c r="J16" s="115" t="str">
        <f t="shared" si="2"/>
        <v>----</v>
      </c>
    </row>
    <row r="17" spans="1:10">
      <c r="A17" s="102"/>
      <c r="B17" s="103"/>
      <c r="C17" s="87"/>
      <c r="D17" s="468"/>
      <c r="E17" s="475"/>
      <c r="F17" s="487" t="str">
        <f t="shared" si="0"/>
        <v>----</v>
      </c>
      <c r="G17" s="475"/>
      <c r="H17" s="487" t="str">
        <f t="shared" si="1"/>
        <v>----</v>
      </c>
      <c r="I17" s="488"/>
      <c r="J17" s="115" t="str">
        <f t="shared" si="2"/>
        <v>----</v>
      </c>
    </row>
    <row r="18" spans="1:10">
      <c r="A18" s="102"/>
      <c r="B18" s="103"/>
      <c r="C18" s="87"/>
      <c r="D18" s="468"/>
      <c r="E18" s="475"/>
      <c r="F18" s="487" t="str">
        <f t="shared" si="0"/>
        <v>----</v>
      </c>
      <c r="G18" s="475"/>
      <c r="H18" s="487" t="str">
        <f t="shared" si="1"/>
        <v>----</v>
      </c>
      <c r="I18" s="488"/>
      <c r="J18" s="115" t="str">
        <f t="shared" si="2"/>
        <v>----</v>
      </c>
    </row>
    <row r="19" spans="1:10">
      <c r="A19" s="102"/>
      <c r="B19" s="103"/>
      <c r="C19" s="87"/>
      <c r="D19" s="468"/>
      <c r="E19" s="475"/>
      <c r="F19" s="487" t="str">
        <f t="shared" si="0"/>
        <v>----</v>
      </c>
      <c r="G19" s="475"/>
      <c r="H19" s="487" t="str">
        <f t="shared" si="1"/>
        <v>----</v>
      </c>
      <c r="I19" s="488"/>
      <c r="J19" s="115" t="str">
        <f t="shared" si="2"/>
        <v>----</v>
      </c>
    </row>
    <row r="20" spans="1:10">
      <c r="A20" s="102"/>
      <c r="B20" s="103"/>
      <c r="C20" s="87"/>
      <c r="D20" s="468"/>
      <c r="E20" s="475"/>
      <c r="F20" s="487" t="str">
        <f t="shared" si="0"/>
        <v>----</v>
      </c>
      <c r="G20" s="475"/>
      <c r="H20" s="487" t="str">
        <f t="shared" si="1"/>
        <v>----</v>
      </c>
      <c r="I20" s="488"/>
      <c r="J20" s="115" t="str">
        <f t="shared" si="2"/>
        <v>----</v>
      </c>
    </row>
    <row r="21" spans="1:10">
      <c r="A21" s="102"/>
      <c r="B21" s="103"/>
      <c r="C21" s="87"/>
      <c r="D21" s="468"/>
      <c r="E21" s="475"/>
      <c r="F21" s="487" t="str">
        <f t="shared" si="0"/>
        <v>----</v>
      </c>
      <c r="G21" s="475"/>
      <c r="H21" s="487" t="str">
        <f t="shared" si="1"/>
        <v>----</v>
      </c>
      <c r="I21" s="488"/>
      <c r="J21" s="115" t="str">
        <f t="shared" si="2"/>
        <v>----</v>
      </c>
    </row>
    <row r="22" spans="1:10">
      <c r="A22" s="102"/>
      <c r="B22" s="103"/>
      <c r="C22" s="87"/>
      <c r="D22" s="468"/>
      <c r="E22" s="475"/>
      <c r="F22" s="487" t="str">
        <f t="shared" si="0"/>
        <v>----</v>
      </c>
      <c r="G22" s="475"/>
      <c r="H22" s="487" t="str">
        <f t="shared" si="1"/>
        <v>----</v>
      </c>
      <c r="I22" s="488"/>
      <c r="J22" s="115" t="str">
        <f t="shared" si="2"/>
        <v>----</v>
      </c>
    </row>
    <row r="23" spans="1:10">
      <c r="A23" s="102"/>
      <c r="B23" s="103"/>
      <c r="C23" s="87"/>
      <c r="D23" s="468"/>
      <c r="E23" s="475"/>
      <c r="F23" s="487" t="str">
        <f t="shared" si="0"/>
        <v>----</v>
      </c>
      <c r="G23" s="475"/>
      <c r="H23" s="487" t="str">
        <f t="shared" si="1"/>
        <v>----</v>
      </c>
      <c r="I23" s="488"/>
      <c r="J23" s="115" t="str">
        <f t="shared" si="2"/>
        <v>----</v>
      </c>
    </row>
    <row r="24" spans="1:10">
      <c r="A24" s="116"/>
      <c r="B24" s="117"/>
      <c r="C24" s="118"/>
      <c r="D24" s="469"/>
      <c r="E24" s="476"/>
      <c r="F24" s="489" t="str">
        <f t="shared" si="0"/>
        <v>----</v>
      </c>
      <c r="G24" s="476"/>
      <c r="H24" s="489" t="str">
        <f t="shared" si="1"/>
        <v>----</v>
      </c>
      <c r="I24" s="490"/>
      <c r="J24" s="119" t="str">
        <f t="shared" si="2"/>
        <v>----</v>
      </c>
    </row>
    <row r="25" spans="1:10" ht="15.75" thickBot="1">
      <c r="A25" s="74"/>
      <c r="B25" s="75"/>
      <c r="C25" s="76"/>
      <c r="D25" s="432"/>
      <c r="E25" s="477"/>
      <c r="F25" s="478" t="str">
        <f t="shared" si="0"/>
        <v>----</v>
      </c>
      <c r="G25" s="477"/>
      <c r="H25" s="478" t="str">
        <f t="shared" si="1"/>
        <v>----</v>
      </c>
      <c r="I25" s="483"/>
      <c r="J25" s="77" t="str">
        <f t="shared" si="2"/>
        <v>----</v>
      </c>
    </row>
    <row r="26" spans="1:10" ht="15.75" thickBot="1">
      <c r="A26" s="27"/>
      <c r="B26" s="27"/>
      <c r="C26" s="28"/>
      <c r="D26" s="28"/>
      <c r="E26" s="441"/>
      <c r="F26" s="443">
        <f>SUM(F4:F25)</f>
        <v>-4135.8399999999965</v>
      </c>
      <c r="G26" s="441"/>
      <c r="H26" s="443">
        <f>SUM(H4:H25)</f>
        <v>0</v>
      </c>
      <c r="I26" s="28"/>
      <c r="J26" s="69">
        <f>SUM(J4:J25)</f>
        <v>-3011.710000000021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4" bestFit="1" customWidth="1"/>
    <col min="6" max="6" width="11.28515625" style="434" customWidth="1"/>
    <col min="7" max="7" width="12" style="434" bestFit="1" customWidth="1"/>
    <col min="8" max="8" width="11.28515625" style="434" customWidth="1"/>
    <col min="9" max="9" width="12" bestFit="1" customWidth="1"/>
    <col min="10" max="10" width="11.28515625" customWidth="1"/>
  </cols>
  <sheetData>
    <row r="1" spans="1:11" ht="15.75" thickBot="1">
      <c r="A1" s="958" t="s">
        <v>142</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70">
        <v>43788</v>
      </c>
      <c r="B4" s="71" t="s">
        <v>143</v>
      </c>
      <c r="C4" s="787">
        <v>328326.3</v>
      </c>
      <c r="D4" s="793">
        <v>262661.03999999998</v>
      </c>
      <c r="E4" s="800"/>
      <c r="F4" s="809" t="str">
        <f t="shared" ref="F4:F19" si="0">IF(ISBLANK(E4),"----",E4-D4)</f>
        <v>----</v>
      </c>
      <c r="G4" s="800"/>
      <c r="H4" s="809" t="str">
        <f t="shared" ref="H4:H19" si="1">IF(OR(G4="Complete",ISBLANK(G4)),"----",G4-$D4)</f>
        <v>----</v>
      </c>
      <c r="I4" s="797"/>
      <c r="J4" s="810" t="str">
        <f t="shared" ref="J4:J19" si="2">IF(OR(I4="Complete",ISBLANK(I4)),"----",I4-$D4)</f>
        <v>----</v>
      </c>
    </row>
    <row r="5" spans="1:11">
      <c r="A5" s="127">
        <v>43852</v>
      </c>
      <c r="B5" s="128" t="s">
        <v>487</v>
      </c>
      <c r="C5" s="756">
        <v>1256405</v>
      </c>
      <c r="D5" s="757">
        <f>C5</f>
        <v>1256405</v>
      </c>
      <c r="E5" s="758">
        <v>1301422.8500000001</v>
      </c>
      <c r="F5" s="759">
        <f t="shared" si="0"/>
        <v>45017.850000000093</v>
      </c>
      <c r="G5" s="758" t="s">
        <v>703</v>
      </c>
      <c r="H5" s="759" t="str">
        <f t="shared" si="1"/>
        <v>----</v>
      </c>
      <c r="I5" s="760" t="s">
        <v>703</v>
      </c>
      <c r="J5" s="761" t="str">
        <f t="shared" si="2"/>
        <v>----</v>
      </c>
    </row>
    <row r="6" spans="1:11">
      <c r="A6" s="120">
        <v>44271</v>
      </c>
      <c r="B6" s="121" t="s">
        <v>412</v>
      </c>
      <c r="C6" s="731">
        <v>994507.7</v>
      </c>
      <c r="D6" s="748">
        <f>C6</f>
        <v>994507.7</v>
      </c>
      <c r="E6" s="762">
        <v>992265.24</v>
      </c>
      <c r="F6" s="759">
        <f t="shared" si="0"/>
        <v>-2242.4599999999627</v>
      </c>
      <c r="G6" s="762" t="s">
        <v>703</v>
      </c>
      <c r="H6" s="759" t="str">
        <f t="shared" si="1"/>
        <v>----</v>
      </c>
      <c r="I6" s="763" t="s">
        <v>703</v>
      </c>
      <c r="J6" s="761" t="str">
        <f t="shared" si="2"/>
        <v>----</v>
      </c>
    </row>
    <row r="7" spans="1:11">
      <c r="A7" s="120">
        <v>44551</v>
      </c>
      <c r="B7" s="263" t="s">
        <v>485</v>
      </c>
      <c r="C7" s="731">
        <v>2704940.95</v>
      </c>
      <c r="D7" s="748">
        <v>722742.69</v>
      </c>
      <c r="E7" s="762">
        <v>633219.99</v>
      </c>
      <c r="F7" s="759">
        <f t="shared" si="0"/>
        <v>-89522.699999999953</v>
      </c>
      <c r="G7" s="762" t="s">
        <v>703</v>
      </c>
      <c r="H7" s="759" t="str">
        <f t="shared" si="1"/>
        <v>----</v>
      </c>
      <c r="I7" s="763" t="s">
        <v>703</v>
      </c>
      <c r="J7" s="761" t="str">
        <f t="shared" si="2"/>
        <v>----</v>
      </c>
      <c r="K7" t="s">
        <v>486</v>
      </c>
    </row>
    <row r="8" spans="1:11">
      <c r="A8" s="120">
        <v>44915</v>
      </c>
      <c r="B8" s="121" t="s">
        <v>619</v>
      </c>
      <c r="C8" s="731">
        <v>202838</v>
      </c>
      <c r="D8" s="748">
        <f>C8</f>
        <v>202838</v>
      </c>
      <c r="E8" s="762"/>
      <c r="F8" s="759" t="str">
        <f t="shared" si="0"/>
        <v>----</v>
      </c>
      <c r="G8" s="762">
        <v>195232.56</v>
      </c>
      <c r="H8" s="759">
        <f t="shared" si="1"/>
        <v>-7605.4400000000023</v>
      </c>
      <c r="I8" s="763" t="s">
        <v>703</v>
      </c>
      <c r="J8" s="761" t="str">
        <f t="shared" si="2"/>
        <v>----</v>
      </c>
    </row>
    <row r="9" spans="1:11">
      <c r="A9" s="120">
        <v>44915</v>
      </c>
      <c r="B9" s="121" t="s">
        <v>620</v>
      </c>
      <c r="C9" s="731">
        <v>190736.15</v>
      </c>
      <c r="D9" s="748">
        <f>C9</f>
        <v>190736.15</v>
      </c>
      <c r="E9" s="762"/>
      <c r="F9" s="759" t="str">
        <f t="shared" si="0"/>
        <v>----</v>
      </c>
      <c r="G9" s="762">
        <v>192162.12</v>
      </c>
      <c r="H9" s="759">
        <f t="shared" si="1"/>
        <v>1425.9700000000012</v>
      </c>
      <c r="I9" s="763" t="s">
        <v>703</v>
      </c>
      <c r="J9" s="761" t="str">
        <f t="shared" si="2"/>
        <v>----</v>
      </c>
    </row>
    <row r="10" spans="1:11">
      <c r="A10" s="120">
        <v>44915</v>
      </c>
      <c r="B10" s="121" t="s">
        <v>621</v>
      </c>
      <c r="C10" s="731">
        <v>303923.34999999998</v>
      </c>
      <c r="D10" s="748">
        <f>C10</f>
        <v>303923.34999999998</v>
      </c>
      <c r="E10" s="762"/>
      <c r="F10" s="759" t="str">
        <f t="shared" si="0"/>
        <v>----</v>
      </c>
      <c r="G10" s="762">
        <v>307043.15000000002</v>
      </c>
      <c r="H10" s="759">
        <f t="shared" si="1"/>
        <v>3119.8000000000466</v>
      </c>
      <c r="I10" s="763" t="s">
        <v>703</v>
      </c>
      <c r="J10" s="761" t="str">
        <f t="shared" si="2"/>
        <v>----</v>
      </c>
    </row>
    <row r="11" spans="1:11">
      <c r="A11" s="120">
        <v>45398</v>
      </c>
      <c r="B11" s="121" t="s">
        <v>743</v>
      </c>
      <c r="C11" s="731">
        <v>711589.89</v>
      </c>
      <c r="D11" s="748">
        <f>C11</f>
        <v>711589.89</v>
      </c>
      <c r="E11" s="762"/>
      <c r="F11" s="759" t="str">
        <f t="shared" si="0"/>
        <v>----</v>
      </c>
      <c r="G11" s="762"/>
      <c r="H11" s="759" t="str">
        <f t="shared" si="1"/>
        <v>----</v>
      </c>
      <c r="I11" s="763"/>
      <c r="J11" s="761" t="str">
        <f t="shared" si="2"/>
        <v>----</v>
      </c>
    </row>
    <row r="12" spans="1:11">
      <c r="A12" s="837">
        <v>45734</v>
      </c>
      <c r="B12" s="838" t="s">
        <v>861</v>
      </c>
      <c r="C12" s="839">
        <v>451974.8</v>
      </c>
      <c r="D12" s="840">
        <v>0</v>
      </c>
      <c r="E12" s="841"/>
      <c r="F12" s="842" t="str">
        <f t="shared" si="0"/>
        <v>----</v>
      </c>
      <c r="G12" s="841"/>
      <c r="H12" s="842" t="str">
        <f t="shared" si="1"/>
        <v>----</v>
      </c>
      <c r="I12" s="843"/>
      <c r="J12" s="844" t="str">
        <f t="shared" si="2"/>
        <v>----</v>
      </c>
      <c r="K12" s="845" t="s">
        <v>864</v>
      </c>
    </row>
    <row r="13" spans="1:11">
      <c r="A13" s="120"/>
      <c r="B13" s="121"/>
      <c r="C13" s="731"/>
      <c r="D13" s="748"/>
      <c r="E13" s="762"/>
      <c r="F13" s="759" t="str">
        <f t="shared" si="0"/>
        <v>----</v>
      </c>
      <c r="G13" s="762"/>
      <c r="H13" s="759" t="str">
        <f t="shared" si="1"/>
        <v>----</v>
      </c>
      <c r="I13" s="763"/>
      <c r="J13" s="761" t="str">
        <f t="shared" si="2"/>
        <v>----</v>
      </c>
    </row>
    <row r="14" spans="1:11">
      <c r="A14" s="120"/>
      <c r="B14" s="121"/>
      <c r="C14" s="731"/>
      <c r="D14" s="748"/>
      <c r="E14" s="762"/>
      <c r="F14" s="759" t="str">
        <f t="shared" si="0"/>
        <v>----</v>
      </c>
      <c r="G14" s="762"/>
      <c r="H14" s="759" t="str">
        <f t="shared" si="1"/>
        <v>----</v>
      </c>
      <c r="I14" s="763"/>
      <c r="J14" s="761" t="str">
        <f t="shared" si="2"/>
        <v>----</v>
      </c>
    </row>
    <row r="15" spans="1:11">
      <c r="A15" s="120"/>
      <c r="B15" s="121"/>
      <c r="C15" s="731"/>
      <c r="D15" s="748"/>
      <c r="E15" s="762"/>
      <c r="F15" s="759" t="str">
        <f t="shared" si="0"/>
        <v>----</v>
      </c>
      <c r="G15" s="762"/>
      <c r="H15" s="759" t="str">
        <f t="shared" si="1"/>
        <v>----</v>
      </c>
      <c r="I15" s="763"/>
      <c r="J15" s="761" t="str">
        <f t="shared" si="2"/>
        <v>----</v>
      </c>
    </row>
    <row r="16" spans="1:11">
      <c r="A16" s="120"/>
      <c r="B16" s="121"/>
      <c r="C16" s="731"/>
      <c r="D16" s="748"/>
      <c r="E16" s="762"/>
      <c r="F16" s="759" t="str">
        <f t="shared" si="0"/>
        <v>----</v>
      </c>
      <c r="G16" s="762"/>
      <c r="H16" s="759" t="str">
        <f t="shared" si="1"/>
        <v>----</v>
      </c>
      <c r="I16" s="763"/>
      <c r="J16" s="761" t="str">
        <f t="shared" si="2"/>
        <v>----</v>
      </c>
    </row>
    <row r="17" spans="1:10">
      <c r="A17" s="120"/>
      <c r="B17" s="121"/>
      <c r="C17" s="731"/>
      <c r="D17" s="748"/>
      <c r="E17" s="762"/>
      <c r="F17" s="759" t="str">
        <f t="shared" si="0"/>
        <v>----</v>
      </c>
      <c r="G17" s="762"/>
      <c r="H17" s="759" t="str">
        <f t="shared" si="1"/>
        <v>----</v>
      </c>
      <c r="I17" s="763"/>
      <c r="J17" s="761" t="str">
        <f t="shared" si="2"/>
        <v>----</v>
      </c>
    </row>
    <row r="18" spans="1:10">
      <c r="A18" s="123"/>
      <c r="B18" s="124"/>
      <c r="C18" s="732"/>
      <c r="D18" s="749"/>
      <c r="E18" s="770"/>
      <c r="F18" s="759" t="str">
        <f t="shared" si="0"/>
        <v>----</v>
      </c>
      <c r="G18" s="770"/>
      <c r="H18" s="759" t="str">
        <f t="shared" si="1"/>
        <v>----</v>
      </c>
      <c r="I18" s="771"/>
      <c r="J18" s="761" t="str">
        <f t="shared" si="2"/>
        <v>----</v>
      </c>
    </row>
    <row r="19" spans="1:10" ht="15.75" thickBot="1">
      <c r="A19" s="74"/>
      <c r="B19" s="75"/>
      <c r="C19" s="789"/>
      <c r="D19" s="796"/>
      <c r="E19" s="802"/>
      <c r="F19" s="807" t="str">
        <f t="shared" si="0"/>
        <v>----</v>
      </c>
      <c r="G19" s="802"/>
      <c r="H19" s="807" t="str">
        <f t="shared" si="1"/>
        <v>----</v>
      </c>
      <c r="I19" s="799"/>
      <c r="J19" s="808" t="str">
        <f t="shared" si="2"/>
        <v>----</v>
      </c>
    </row>
    <row r="20" spans="1:10" ht="15.75" thickBot="1">
      <c r="A20" s="27"/>
      <c r="B20" s="27"/>
      <c r="C20" s="820"/>
      <c r="D20" s="820"/>
      <c r="E20" s="820"/>
      <c r="F20" s="821">
        <f>SUM(F4:F19)</f>
        <v>-46747.309999999823</v>
      </c>
      <c r="G20" s="820"/>
      <c r="H20" s="821">
        <f>SUM(H4:H19)</f>
        <v>-3059.6699999999546</v>
      </c>
      <c r="I20" s="820"/>
      <c r="J20" s="821">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K9" sqref="K9"/>
    </sheetView>
  </sheetViews>
  <sheetFormatPr defaultRowHeight="15"/>
  <cols>
    <col min="2" max="2" width="23.42578125" bestFit="1" customWidth="1"/>
    <col min="3" max="3" width="12" bestFit="1" customWidth="1"/>
    <col min="4" max="4" width="12" customWidth="1"/>
    <col min="5" max="5" width="15" style="434" customWidth="1"/>
    <col min="6" max="6" width="11.42578125" style="434" customWidth="1"/>
    <col min="7" max="7" width="10.7109375" style="434" bestFit="1" customWidth="1"/>
    <col min="8" max="8" width="11.42578125" style="434" customWidth="1"/>
    <col min="9" max="9" width="10.7109375" bestFit="1" customWidth="1"/>
    <col min="10" max="10" width="11.42578125" customWidth="1"/>
  </cols>
  <sheetData>
    <row r="1" spans="1:11" ht="15.75" thickBot="1">
      <c r="A1" s="958" t="s">
        <v>286</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57.75" thickBot="1">
      <c r="A3" s="966"/>
      <c r="B3" s="968"/>
      <c r="C3" s="968"/>
      <c r="D3" s="980"/>
      <c r="E3" s="462" t="s">
        <v>121</v>
      </c>
      <c r="F3" s="470" t="s">
        <v>113</v>
      </c>
      <c r="G3" s="462" t="s">
        <v>121</v>
      </c>
      <c r="H3" s="470" t="s">
        <v>113</v>
      </c>
      <c r="I3" s="480" t="s">
        <v>121</v>
      </c>
      <c r="J3" s="25" t="s">
        <v>113</v>
      </c>
    </row>
    <row r="4" spans="1:11">
      <c r="A4" s="70">
        <v>43998</v>
      </c>
      <c r="B4" s="71" t="s">
        <v>384</v>
      </c>
      <c r="C4" s="787">
        <v>603460.9</v>
      </c>
      <c r="D4" s="793">
        <f>C4</f>
        <v>603460.9</v>
      </c>
      <c r="E4" s="800"/>
      <c r="F4" s="809" t="str">
        <f t="shared" ref="F4:F22" si="0">IF(ISBLANK(E4),"----",E4-D4)</f>
        <v>----</v>
      </c>
      <c r="G4" s="800">
        <v>593794.54</v>
      </c>
      <c r="H4" s="809">
        <f t="shared" ref="H4:H22" si="1">IF(OR(G4="Complete",ISBLANK(G4)),"----",G4-$D4)</f>
        <v>-9666.359999999986</v>
      </c>
      <c r="I4" s="797" t="s">
        <v>703</v>
      </c>
      <c r="J4" s="810" t="str">
        <f t="shared" ref="J4:J22" si="2">IF(OR(I4="Complete",ISBLANK(I4)),"----",I4-$D4)</f>
        <v>----</v>
      </c>
    </row>
    <row r="5" spans="1:11">
      <c r="A5" s="108">
        <v>43998</v>
      </c>
      <c r="B5" s="107" t="s">
        <v>295</v>
      </c>
      <c r="C5" s="828">
        <v>501470</v>
      </c>
      <c r="D5" s="829">
        <v>0</v>
      </c>
      <c r="E5" s="830"/>
      <c r="F5" s="831" t="str">
        <f t="shared" si="0"/>
        <v>----</v>
      </c>
      <c r="G5" s="830"/>
      <c r="H5" s="831" t="str">
        <f t="shared" si="1"/>
        <v>----</v>
      </c>
      <c r="I5" s="832"/>
      <c r="J5" s="833" t="str">
        <f t="shared" si="2"/>
        <v>----</v>
      </c>
      <c r="K5" t="s">
        <v>296</v>
      </c>
    </row>
    <row r="6" spans="1:11">
      <c r="A6" s="91">
        <v>44061</v>
      </c>
      <c r="B6" s="92" t="s">
        <v>383</v>
      </c>
      <c r="C6" s="788">
        <v>973940.25</v>
      </c>
      <c r="D6" s="803">
        <v>973940.25</v>
      </c>
      <c r="E6" s="805"/>
      <c r="F6" s="831" t="str">
        <f t="shared" si="0"/>
        <v>----</v>
      </c>
      <c r="G6" s="805"/>
      <c r="H6" s="831" t="str">
        <f t="shared" si="1"/>
        <v>----</v>
      </c>
      <c r="I6" s="804"/>
      <c r="J6" s="833" t="str">
        <f t="shared" si="2"/>
        <v>----</v>
      </c>
    </row>
    <row r="7" spans="1:11">
      <c r="A7" s="976">
        <v>44216</v>
      </c>
      <c r="B7" s="103" t="s">
        <v>385</v>
      </c>
      <c r="C7" s="776">
        <v>907170.4</v>
      </c>
      <c r="D7" s="735">
        <v>306350.40000000002</v>
      </c>
      <c r="E7" s="745"/>
      <c r="F7" s="831" t="str">
        <f t="shared" si="0"/>
        <v>----</v>
      </c>
      <c r="G7" s="745"/>
      <c r="H7" s="831" t="str">
        <f t="shared" si="1"/>
        <v>----</v>
      </c>
      <c r="I7" s="740">
        <f>941191.5-600820</f>
        <v>340371.5</v>
      </c>
      <c r="J7" s="833">
        <f t="shared" si="2"/>
        <v>34021.099999999977</v>
      </c>
      <c r="K7" t="s">
        <v>902</v>
      </c>
    </row>
    <row r="8" spans="1:11">
      <c r="A8" s="978"/>
      <c r="B8" s="103" t="s">
        <v>386</v>
      </c>
      <c r="C8" s="776">
        <v>631337.55000000005</v>
      </c>
      <c r="D8" s="735">
        <v>167067.54999999999</v>
      </c>
      <c r="E8" s="745"/>
      <c r="F8" s="831" t="str">
        <f t="shared" si="0"/>
        <v>----</v>
      </c>
      <c r="G8" s="745"/>
      <c r="H8" s="831" t="str">
        <f t="shared" si="1"/>
        <v>----</v>
      </c>
      <c r="I8" s="740">
        <f>630101.43-464270</f>
        <v>165831.43000000005</v>
      </c>
      <c r="J8" s="833">
        <f t="shared" si="2"/>
        <v>-1236.1199999999371</v>
      </c>
      <c r="K8" s="786" t="s">
        <v>901</v>
      </c>
    </row>
    <row r="9" spans="1:11">
      <c r="A9" s="102">
        <v>44698</v>
      </c>
      <c r="B9" s="103" t="s">
        <v>517</v>
      </c>
      <c r="C9" s="776">
        <v>1542860.84</v>
      </c>
      <c r="D9" s="735">
        <f>C9</f>
        <v>1542860.84</v>
      </c>
      <c r="E9" s="745"/>
      <c r="F9" s="831" t="str">
        <f t="shared" si="0"/>
        <v>----</v>
      </c>
      <c r="G9" s="745"/>
      <c r="H9" s="831" t="str">
        <f t="shared" si="1"/>
        <v>----</v>
      </c>
      <c r="I9" s="740"/>
      <c r="J9" s="833" t="str">
        <f t="shared" si="2"/>
        <v>----</v>
      </c>
    </row>
    <row r="10" spans="1:11">
      <c r="A10" s="102">
        <v>44698</v>
      </c>
      <c r="B10" s="103" t="s">
        <v>518</v>
      </c>
      <c r="C10" s="776">
        <v>541346.30000000005</v>
      </c>
      <c r="D10" s="735">
        <f>C10</f>
        <v>541346.30000000005</v>
      </c>
      <c r="E10" s="745"/>
      <c r="F10" s="831" t="str">
        <f t="shared" si="0"/>
        <v>----</v>
      </c>
      <c r="G10" s="745"/>
      <c r="H10" s="831" t="str">
        <f t="shared" si="1"/>
        <v>----</v>
      </c>
      <c r="I10" s="740"/>
      <c r="J10" s="833" t="str">
        <f t="shared" si="2"/>
        <v>----</v>
      </c>
    </row>
    <row r="11" spans="1:11">
      <c r="A11" s="102">
        <v>45006</v>
      </c>
      <c r="B11" s="103" t="s">
        <v>643</v>
      </c>
      <c r="C11" s="776">
        <v>1132113.1000000001</v>
      </c>
      <c r="D11" s="735">
        <f>C11</f>
        <v>1132113.1000000001</v>
      </c>
      <c r="E11" s="745"/>
      <c r="F11" s="831" t="str">
        <f t="shared" si="0"/>
        <v>----</v>
      </c>
      <c r="G11" s="745"/>
      <c r="H11" s="831" t="str">
        <f t="shared" si="1"/>
        <v>----</v>
      </c>
      <c r="I11" s="740"/>
      <c r="J11" s="833" t="str">
        <f t="shared" si="2"/>
        <v>----</v>
      </c>
    </row>
    <row r="12" spans="1:11">
      <c r="A12" s="102">
        <v>45679</v>
      </c>
      <c r="B12" s="727" t="s">
        <v>817</v>
      </c>
      <c r="C12" s="776">
        <v>1372445.3</v>
      </c>
      <c r="D12" s="735">
        <f>C12</f>
        <v>1372445.3</v>
      </c>
      <c r="E12" s="745"/>
      <c r="F12" s="831" t="str">
        <f t="shared" si="0"/>
        <v>----</v>
      </c>
      <c r="G12" s="745"/>
      <c r="H12" s="831" t="str">
        <f t="shared" si="1"/>
        <v>----</v>
      </c>
      <c r="I12" s="740"/>
      <c r="J12" s="833" t="str">
        <f t="shared" si="2"/>
        <v>----</v>
      </c>
    </row>
    <row r="13" spans="1:11">
      <c r="A13" s="102">
        <v>45706</v>
      </c>
      <c r="B13" s="727" t="s">
        <v>850</v>
      </c>
      <c r="C13" s="776">
        <v>751517.95</v>
      </c>
      <c r="D13" s="735">
        <v>0</v>
      </c>
      <c r="E13" s="745"/>
      <c r="F13" s="831" t="str">
        <f t="shared" si="0"/>
        <v>----</v>
      </c>
      <c r="G13" s="745"/>
      <c r="H13" s="831" t="str">
        <f t="shared" si="1"/>
        <v>----</v>
      </c>
      <c r="I13" s="740"/>
      <c r="J13" s="833" t="str">
        <f t="shared" si="2"/>
        <v>----</v>
      </c>
      <c r="K13" t="s">
        <v>851</v>
      </c>
    </row>
    <row r="14" spans="1:11">
      <c r="A14" s="102">
        <v>45734</v>
      </c>
      <c r="B14" s="727" t="s">
        <v>862</v>
      </c>
      <c r="C14" s="776">
        <v>894938.65</v>
      </c>
      <c r="D14" s="735">
        <f>C14</f>
        <v>894938.65</v>
      </c>
      <c r="E14" s="745"/>
      <c r="F14" s="831" t="str">
        <f t="shared" si="0"/>
        <v>----</v>
      </c>
      <c r="G14" s="745"/>
      <c r="H14" s="831" t="str">
        <f t="shared" si="1"/>
        <v>----</v>
      </c>
      <c r="I14" s="740"/>
      <c r="J14" s="833" t="str">
        <f t="shared" si="2"/>
        <v>----</v>
      </c>
    </row>
    <row r="15" spans="1:11">
      <c r="A15" s="102"/>
      <c r="B15" s="103"/>
      <c r="C15" s="776"/>
      <c r="D15" s="735"/>
      <c r="E15" s="745"/>
      <c r="F15" s="831" t="str">
        <f t="shared" si="0"/>
        <v>----</v>
      </c>
      <c r="G15" s="745"/>
      <c r="H15" s="831" t="str">
        <f t="shared" si="1"/>
        <v>----</v>
      </c>
      <c r="I15" s="740"/>
      <c r="J15" s="833" t="str">
        <f t="shared" si="2"/>
        <v>----</v>
      </c>
    </row>
    <row r="16" spans="1:11">
      <c r="A16" s="102"/>
      <c r="B16" s="103"/>
      <c r="C16" s="776"/>
      <c r="D16" s="735"/>
      <c r="E16" s="745"/>
      <c r="F16" s="831" t="str">
        <f t="shared" si="0"/>
        <v>----</v>
      </c>
      <c r="G16" s="745"/>
      <c r="H16" s="831" t="str">
        <f t="shared" si="1"/>
        <v>----</v>
      </c>
      <c r="I16" s="740"/>
      <c r="J16" s="833" t="str">
        <f t="shared" si="2"/>
        <v>----</v>
      </c>
    </row>
    <row r="17" spans="1:10">
      <c r="A17" s="102"/>
      <c r="B17" s="103"/>
      <c r="C17" s="776"/>
      <c r="D17" s="735"/>
      <c r="E17" s="745"/>
      <c r="F17" s="831" t="str">
        <f t="shared" si="0"/>
        <v>----</v>
      </c>
      <c r="G17" s="745"/>
      <c r="H17" s="831" t="str">
        <f t="shared" si="1"/>
        <v>----</v>
      </c>
      <c r="I17" s="740"/>
      <c r="J17" s="833" t="str">
        <f t="shared" si="2"/>
        <v>----</v>
      </c>
    </row>
    <row r="18" spans="1:10">
      <c r="A18" s="102"/>
      <c r="B18" s="103"/>
      <c r="C18" s="776"/>
      <c r="D18" s="735"/>
      <c r="E18" s="745"/>
      <c r="F18" s="831" t="str">
        <f t="shared" si="0"/>
        <v>----</v>
      </c>
      <c r="G18" s="745"/>
      <c r="H18" s="831" t="str">
        <f t="shared" si="1"/>
        <v>----</v>
      </c>
      <c r="I18" s="740"/>
      <c r="J18" s="833" t="str">
        <f t="shared" si="2"/>
        <v>----</v>
      </c>
    </row>
    <row r="19" spans="1:10">
      <c r="A19" s="102"/>
      <c r="B19" s="103"/>
      <c r="C19" s="776"/>
      <c r="D19" s="735"/>
      <c r="E19" s="745"/>
      <c r="F19" s="831" t="str">
        <f t="shared" si="0"/>
        <v>----</v>
      </c>
      <c r="G19" s="745"/>
      <c r="H19" s="831" t="str">
        <f t="shared" si="1"/>
        <v>----</v>
      </c>
      <c r="I19" s="740"/>
      <c r="J19" s="833" t="str">
        <f t="shared" si="2"/>
        <v>----</v>
      </c>
    </row>
    <row r="20" spans="1:10">
      <c r="A20" s="102"/>
      <c r="B20" s="103"/>
      <c r="C20" s="776"/>
      <c r="D20" s="735"/>
      <c r="E20" s="745"/>
      <c r="F20" s="831" t="str">
        <f t="shared" si="0"/>
        <v>----</v>
      </c>
      <c r="G20" s="745"/>
      <c r="H20" s="831" t="str">
        <f t="shared" si="1"/>
        <v>----</v>
      </c>
      <c r="I20" s="740"/>
      <c r="J20" s="833" t="str">
        <f t="shared" si="2"/>
        <v>----</v>
      </c>
    </row>
    <row r="21" spans="1:10">
      <c r="A21" s="116"/>
      <c r="B21" s="117"/>
      <c r="C21" s="779"/>
      <c r="D21" s="795"/>
      <c r="E21" s="746"/>
      <c r="F21" s="831" t="str">
        <f t="shared" si="0"/>
        <v>----</v>
      </c>
      <c r="G21" s="746"/>
      <c r="H21" s="831" t="str">
        <f t="shared" si="1"/>
        <v>----</v>
      </c>
      <c r="I21" s="741"/>
      <c r="J21" s="833" t="str">
        <f t="shared" si="2"/>
        <v>----</v>
      </c>
    </row>
    <row r="22" spans="1:10" ht="15.75" thickBot="1">
      <c r="A22" s="74"/>
      <c r="B22" s="75"/>
      <c r="C22" s="789"/>
      <c r="D22" s="796"/>
      <c r="E22" s="802"/>
      <c r="F22" s="807" t="str">
        <f t="shared" si="0"/>
        <v>----</v>
      </c>
      <c r="G22" s="802"/>
      <c r="H22" s="807" t="str">
        <f t="shared" si="1"/>
        <v>----</v>
      </c>
      <c r="I22" s="799"/>
      <c r="J22" s="808" t="str">
        <f t="shared" si="2"/>
        <v>----</v>
      </c>
    </row>
    <row r="23" spans="1:10" ht="15.75" thickBot="1">
      <c r="A23" s="27"/>
      <c r="B23" s="27"/>
      <c r="C23" s="820"/>
      <c r="D23" s="820"/>
      <c r="E23" s="820"/>
      <c r="F23" s="821">
        <f>SUM(F4:F22)</f>
        <v>0</v>
      </c>
      <c r="G23" s="820"/>
      <c r="H23" s="821">
        <f>SUM(H4:H22)</f>
        <v>-9666.359999999986</v>
      </c>
      <c r="I23" s="820"/>
      <c r="J23" s="821">
        <f>SUM(J4:J22)</f>
        <v>32784.98000000004</v>
      </c>
    </row>
  </sheetData>
  <mergeCells count="9">
    <mergeCell ref="A1:J1"/>
    <mergeCell ref="A7:A8"/>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N13" sqref="N13"/>
    </sheetView>
  </sheetViews>
  <sheetFormatPr defaultRowHeight="15"/>
  <cols>
    <col min="2" max="2" width="22.85546875" bestFit="1" customWidth="1"/>
    <col min="3" max="3" width="10.7109375" bestFit="1" customWidth="1"/>
    <col min="4" max="4" width="11.7109375" customWidth="1"/>
    <col min="5" max="5" width="10.85546875" style="434" customWidth="1"/>
    <col min="6" max="6" width="13" style="434" customWidth="1"/>
    <col min="7" max="7" width="10.85546875" style="434" customWidth="1"/>
    <col min="8" max="8" width="13" style="434" customWidth="1"/>
    <col min="9" max="9" width="10.85546875" customWidth="1"/>
    <col min="10" max="10" width="13" customWidth="1"/>
  </cols>
  <sheetData>
    <row r="1" spans="1:11" ht="15.75" thickBot="1">
      <c r="A1" s="958" t="s">
        <v>159</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46.5" thickBot="1">
      <c r="A3" s="966"/>
      <c r="B3" s="968"/>
      <c r="C3" s="968"/>
      <c r="D3" s="980"/>
      <c r="E3" s="462" t="s">
        <v>121</v>
      </c>
      <c r="F3" s="470" t="s">
        <v>113</v>
      </c>
      <c r="G3" s="462" t="s">
        <v>121</v>
      </c>
      <c r="H3" s="470" t="s">
        <v>113</v>
      </c>
      <c r="I3" s="480" t="s">
        <v>121</v>
      </c>
      <c r="J3" s="25" t="s">
        <v>113</v>
      </c>
    </row>
    <row r="4" spans="1:11">
      <c r="A4" s="70">
        <v>43816</v>
      </c>
      <c r="B4" s="71" t="s">
        <v>160</v>
      </c>
      <c r="C4" s="787">
        <v>474997.6</v>
      </c>
      <c r="D4" s="793">
        <f>C4</f>
        <v>474997.6</v>
      </c>
      <c r="E4" s="800"/>
      <c r="F4" s="809" t="str">
        <f t="shared" ref="F4:F21" si="0">IF(ISBLANK(E4),"----",E4-D4)</f>
        <v>----</v>
      </c>
      <c r="G4" s="800">
        <v>468460.44</v>
      </c>
      <c r="H4" s="809">
        <f t="shared" ref="H4:H21" si="1">IF(OR(G4="Complete",ISBLANK(G4)),"----",G4-$D4)</f>
        <v>-6537.1599999999744</v>
      </c>
      <c r="I4" s="797"/>
      <c r="J4" s="810" t="str">
        <f t="shared" ref="J4:J21" si="2">IF(OR(I4="Complete",ISBLANK(I4)),"----",I4-$D4)</f>
        <v>----</v>
      </c>
    </row>
    <row r="5" spans="1:11">
      <c r="A5" s="88">
        <v>44271</v>
      </c>
      <c r="B5" s="101" t="s">
        <v>413</v>
      </c>
      <c r="C5" s="790">
        <v>165849.29999999999</v>
      </c>
      <c r="D5" s="794">
        <f>C5</f>
        <v>165849.29999999999</v>
      </c>
      <c r="E5" s="801"/>
      <c r="F5" s="780" t="str">
        <f t="shared" si="0"/>
        <v>----</v>
      </c>
      <c r="G5" s="801">
        <v>139595.85999999999</v>
      </c>
      <c r="H5" s="780">
        <f t="shared" si="1"/>
        <v>-26253.440000000002</v>
      </c>
      <c r="I5" s="798"/>
      <c r="J5" s="781" t="str">
        <f t="shared" si="2"/>
        <v>----</v>
      </c>
    </row>
    <row r="6" spans="1:11">
      <c r="A6" s="102">
        <v>44271</v>
      </c>
      <c r="B6" s="103" t="s">
        <v>414</v>
      </c>
      <c r="C6" s="776">
        <v>535241.1</v>
      </c>
      <c r="D6" s="735">
        <v>357726.1</v>
      </c>
      <c r="E6" s="745"/>
      <c r="F6" s="780" t="str">
        <f t="shared" si="0"/>
        <v>----</v>
      </c>
      <c r="G6" s="745">
        <f>534629.13-177515</f>
        <v>357114.13</v>
      </c>
      <c r="H6" s="780">
        <f t="shared" si="1"/>
        <v>-611.96999999997206</v>
      </c>
      <c r="I6" s="740" t="s">
        <v>703</v>
      </c>
      <c r="J6" s="781" t="str">
        <f t="shared" si="2"/>
        <v>----</v>
      </c>
      <c r="K6" t="s">
        <v>774</v>
      </c>
    </row>
    <row r="7" spans="1:11">
      <c r="A7" s="102">
        <v>44516</v>
      </c>
      <c r="B7" s="103" t="s">
        <v>474</v>
      </c>
      <c r="C7" s="776">
        <v>209206.8</v>
      </c>
      <c r="D7" s="735">
        <f>C7</f>
        <v>209206.8</v>
      </c>
      <c r="E7" s="745"/>
      <c r="F7" s="780" t="str">
        <f t="shared" si="0"/>
        <v>----</v>
      </c>
      <c r="G7" s="873"/>
      <c r="H7" s="780" t="str">
        <f t="shared" si="1"/>
        <v>----</v>
      </c>
      <c r="I7" s="874"/>
      <c r="J7" s="781" t="str">
        <f t="shared" si="2"/>
        <v>----</v>
      </c>
    </row>
    <row r="8" spans="1:11">
      <c r="A8" s="102">
        <v>45524</v>
      </c>
      <c r="B8" s="452" t="s">
        <v>771</v>
      </c>
      <c r="C8" s="776">
        <v>408541.7</v>
      </c>
      <c r="D8" s="735">
        <f>C8</f>
        <v>408541.7</v>
      </c>
      <c r="E8" s="745"/>
      <c r="F8" s="780" t="str">
        <f t="shared" si="0"/>
        <v>----</v>
      </c>
      <c r="G8" s="745"/>
      <c r="H8" s="780" t="str">
        <f t="shared" si="1"/>
        <v>----</v>
      </c>
      <c r="I8" s="740"/>
      <c r="J8" s="781" t="str">
        <f t="shared" si="2"/>
        <v>----</v>
      </c>
    </row>
    <row r="9" spans="1:11">
      <c r="A9" s="102">
        <v>45888</v>
      </c>
      <c r="B9" s="727" t="s">
        <v>898</v>
      </c>
      <c r="C9" s="776">
        <v>388252.85</v>
      </c>
      <c r="D9" s="735">
        <f>C9</f>
        <v>388252.85</v>
      </c>
      <c r="E9" s="745"/>
      <c r="F9" s="780" t="str">
        <f t="shared" si="0"/>
        <v>----</v>
      </c>
      <c r="G9" s="745"/>
      <c r="H9" s="780" t="str">
        <f t="shared" si="1"/>
        <v>----</v>
      </c>
      <c r="I9" s="740"/>
      <c r="J9" s="781" t="str">
        <f t="shared" si="2"/>
        <v>----</v>
      </c>
    </row>
    <row r="10" spans="1:11">
      <c r="A10" s="102"/>
      <c r="B10" s="103"/>
      <c r="C10" s="776"/>
      <c r="D10" s="735"/>
      <c r="E10" s="745"/>
      <c r="F10" s="780" t="str">
        <f t="shared" si="0"/>
        <v>----</v>
      </c>
      <c r="G10" s="745"/>
      <c r="H10" s="780" t="str">
        <f t="shared" si="1"/>
        <v>----</v>
      </c>
      <c r="I10" s="740"/>
      <c r="J10" s="781" t="str">
        <f t="shared" si="2"/>
        <v>----</v>
      </c>
    </row>
    <row r="11" spans="1:11">
      <c r="A11" s="102"/>
      <c r="B11" s="103"/>
      <c r="C11" s="776"/>
      <c r="D11" s="735"/>
      <c r="E11" s="745"/>
      <c r="F11" s="780" t="str">
        <f t="shared" si="0"/>
        <v>----</v>
      </c>
      <c r="G11" s="745"/>
      <c r="H11" s="780" t="str">
        <f t="shared" si="1"/>
        <v>----</v>
      </c>
      <c r="I11" s="740"/>
      <c r="J11" s="781" t="str">
        <f t="shared" si="2"/>
        <v>----</v>
      </c>
    </row>
    <row r="12" spans="1:11">
      <c r="A12" s="102"/>
      <c r="B12" s="103"/>
      <c r="C12" s="776"/>
      <c r="D12" s="735"/>
      <c r="E12" s="745"/>
      <c r="F12" s="780" t="str">
        <f t="shared" si="0"/>
        <v>----</v>
      </c>
      <c r="G12" s="745"/>
      <c r="H12" s="780" t="str">
        <f t="shared" si="1"/>
        <v>----</v>
      </c>
      <c r="I12" s="740"/>
      <c r="J12" s="781" t="str">
        <f t="shared" si="2"/>
        <v>----</v>
      </c>
    </row>
    <row r="13" spans="1:11">
      <c r="A13" s="102"/>
      <c r="B13" s="103"/>
      <c r="C13" s="776"/>
      <c r="D13" s="735"/>
      <c r="E13" s="745"/>
      <c r="F13" s="780" t="str">
        <f t="shared" si="0"/>
        <v>----</v>
      </c>
      <c r="G13" s="745"/>
      <c r="H13" s="780" t="str">
        <f t="shared" si="1"/>
        <v>----</v>
      </c>
      <c r="I13" s="740"/>
      <c r="J13" s="781" t="str">
        <f t="shared" si="2"/>
        <v>----</v>
      </c>
    </row>
    <row r="14" spans="1:11">
      <c r="A14" s="102"/>
      <c r="B14" s="103"/>
      <c r="C14" s="776"/>
      <c r="D14" s="735"/>
      <c r="E14" s="745"/>
      <c r="F14" s="780" t="str">
        <f t="shared" si="0"/>
        <v>----</v>
      </c>
      <c r="G14" s="745"/>
      <c r="H14" s="780" t="str">
        <f t="shared" si="1"/>
        <v>----</v>
      </c>
      <c r="I14" s="740"/>
      <c r="J14" s="781" t="str">
        <f t="shared" si="2"/>
        <v>----</v>
      </c>
    </row>
    <row r="15" spans="1:11">
      <c r="A15" s="102"/>
      <c r="B15" s="103"/>
      <c r="C15" s="776"/>
      <c r="D15" s="735"/>
      <c r="E15" s="745"/>
      <c r="F15" s="780" t="str">
        <f t="shared" si="0"/>
        <v>----</v>
      </c>
      <c r="G15" s="745"/>
      <c r="H15" s="780" t="str">
        <f t="shared" si="1"/>
        <v>----</v>
      </c>
      <c r="I15" s="740"/>
      <c r="J15" s="781" t="str">
        <f t="shared" si="2"/>
        <v>----</v>
      </c>
    </row>
    <row r="16" spans="1:11">
      <c r="A16" s="102"/>
      <c r="B16" s="103"/>
      <c r="C16" s="776"/>
      <c r="D16" s="735"/>
      <c r="E16" s="745"/>
      <c r="F16" s="780" t="str">
        <f t="shared" si="0"/>
        <v>----</v>
      </c>
      <c r="G16" s="745"/>
      <c r="H16" s="780" t="str">
        <f t="shared" si="1"/>
        <v>----</v>
      </c>
      <c r="I16" s="740"/>
      <c r="J16" s="781" t="str">
        <f t="shared" si="2"/>
        <v>----</v>
      </c>
    </row>
    <row r="17" spans="1:10">
      <c r="A17" s="102"/>
      <c r="B17" s="103"/>
      <c r="C17" s="776"/>
      <c r="D17" s="735"/>
      <c r="E17" s="745"/>
      <c r="F17" s="780" t="str">
        <f t="shared" si="0"/>
        <v>----</v>
      </c>
      <c r="G17" s="745"/>
      <c r="H17" s="780" t="str">
        <f t="shared" si="1"/>
        <v>----</v>
      </c>
      <c r="I17" s="740"/>
      <c r="J17" s="781" t="str">
        <f t="shared" si="2"/>
        <v>----</v>
      </c>
    </row>
    <row r="18" spans="1:10">
      <c r="A18" s="102"/>
      <c r="B18" s="103"/>
      <c r="C18" s="776"/>
      <c r="D18" s="735"/>
      <c r="E18" s="745"/>
      <c r="F18" s="780" t="str">
        <f t="shared" si="0"/>
        <v>----</v>
      </c>
      <c r="G18" s="745"/>
      <c r="H18" s="780" t="str">
        <f t="shared" si="1"/>
        <v>----</v>
      </c>
      <c r="I18" s="740"/>
      <c r="J18" s="781" t="str">
        <f t="shared" si="2"/>
        <v>----</v>
      </c>
    </row>
    <row r="19" spans="1:10">
      <c r="A19" s="102"/>
      <c r="B19" s="103"/>
      <c r="C19" s="776"/>
      <c r="D19" s="735"/>
      <c r="E19" s="745"/>
      <c r="F19" s="780" t="str">
        <f t="shared" si="0"/>
        <v>----</v>
      </c>
      <c r="G19" s="745"/>
      <c r="H19" s="780" t="str">
        <f t="shared" si="1"/>
        <v>----</v>
      </c>
      <c r="I19" s="740"/>
      <c r="J19" s="781" t="str">
        <f t="shared" si="2"/>
        <v>----</v>
      </c>
    </row>
    <row r="20" spans="1:10">
      <c r="A20" s="116"/>
      <c r="B20" s="117"/>
      <c r="C20" s="779"/>
      <c r="D20" s="795"/>
      <c r="E20" s="746"/>
      <c r="F20" s="780" t="str">
        <f t="shared" si="0"/>
        <v>----</v>
      </c>
      <c r="G20" s="746"/>
      <c r="H20" s="780" t="str">
        <f t="shared" si="1"/>
        <v>----</v>
      </c>
      <c r="I20" s="741"/>
      <c r="J20" s="781" t="str">
        <f t="shared" si="2"/>
        <v>----</v>
      </c>
    </row>
    <row r="21" spans="1:10" ht="15.75" thickBot="1">
      <c r="A21" s="74"/>
      <c r="B21" s="75"/>
      <c r="C21" s="789"/>
      <c r="D21" s="796"/>
      <c r="E21" s="802"/>
      <c r="F21" s="807" t="str">
        <f t="shared" si="0"/>
        <v>----</v>
      </c>
      <c r="G21" s="802"/>
      <c r="H21" s="807" t="str">
        <f t="shared" si="1"/>
        <v>----</v>
      </c>
      <c r="I21" s="799"/>
      <c r="J21" s="808" t="str">
        <f t="shared" si="2"/>
        <v>----</v>
      </c>
    </row>
    <row r="22" spans="1:10" ht="15.75" thickBot="1">
      <c r="A22" s="27"/>
      <c r="B22" s="27"/>
      <c r="C22" s="28"/>
      <c r="D22" s="28"/>
      <c r="E22" s="441"/>
      <c r="F22" s="443">
        <f>SUM(F4:F21)</f>
        <v>0</v>
      </c>
      <c r="G22" s="441"/>
      <c r="H22" s="443">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4"/>
    <col min="9" max="9" width="9.5703125" bestFit="1" customWidth="1"/>
  </cols>
  <sheetData>
    <row r="1" spans="1:11" ht="15.75" thickBot="1">
      <c r="A1" s="958" t="s">
        <v>287</v>
      </c>
      <c r="B1" s="959"/>
      <c r="C1" s="959"/>
      <c r="D1" s="959"/>
      <c r="E1" s="959"/>
      <c r="F1" s="959"/>
      <c r="G1" s="959"/>
      <c r="H1" s="959"/>
      <c r="I1" s="959"/>
      <c r="J1" s="960"/>
    </row>
    <row r="2" spans="1:11" s="434" customFormat="1">
      <c r="A2" s="965" t="s">
        <v>110</v>
      </c>
      <c r="B2" s="967" t="s">
        <v>111</v>
      </c>
      <c r="C2" s="967" t="s">
        <v>112</v>
      </c>
      <c r="D2" s="979" t="s">
        <v>120</v>
      </c>
      <c r="E2" s="963" t="s">
        <v>701</v>
      </c>
      <c r="F2" s="964"/>
      <c r="G2" s="963" t="s">
        <v>702</v>
      </c>
      <c r="H2" s="964"/>
      <c r="I2" s="938" t="s">
        <v>796</v>
      </c>
      <c r="J2" s="939"/>
    </row>
    <row r="3" spans="1:11" ht="69" thickBot="1">
      <c r="A3" s="966"/>
      <c r="B3" s="968"/>
      <c r="C3" s="968"/>
      <c r="D3" s="980"/>
      <c r="E3" s="462" t="s">
        <v>121</v>
      </c>
      <c r="F3" s="470" t="s">
        <v>113</v>
      </c>
      <c r="G3" s="462" t="s">
        <v>121</v>
      </c>
      <c r="H3" s="470" t="s">
        <v>113</v>
      </c>
      <c r="I3" s="480" t="s">
        <v>121</v>
      </c>
      <c r="J3" s="25" t="s">
        <v>113</v>
      </c>
    </row>
    <row r="4" spans="1:11">
      <c r="A4" s="70">
        <v>44580</v>
      </c>
      <c r="B4" s="71" t="s">
        <v>495</v>
      </c>
      <c r="C4" s="787">
        <v>330320.53999999998</v>
      </c>
      <c r="D4" s="793">
        <f>C4</f>
        <v>330320.53999999998</v>
      </c>
      <c r="E4" s="800"/>
      <c r="F4" s="809" t="str">
        <f t="shared" ref="F4:F25" si="0">IF(ISBLANK(E4),"----",E4-D4)</f>
        <v>----</v>
      </c>
      <c r="G4" s="800"/>
      <c r="H4" s="809" t="str">
        <f t="shared" ref="H4:H25" si="1">IF(OR(G4="Complete",ISBLANK(G4)),"----",G4-$D4)</f>
        <v>----</v>
      </c>
      <c r="I4" s="797"/>
      <c r="J4" s="810" t="str">
        <f t="shared" ref="J4:J25" si="2">IF(OR(I4="Complete",ISBLANK(I4)),"----",I4-$D4)</f>
        <v>----</v>
      </c>
    </row>
    <row r="5" spans="1:11">
      <c r="A5" s="88">
        <v>44944</v>
      </c>
      <c r="B5" s="101" t="s">
        <v>632</v>
      </c>
      <c r="C5" s="790">
        <v>571677.49</v>
      </c>
      <c r="D5" s="794">
        <f>C5</f>
        <v>571677.49</v>
      </c>
      <c r="E5" s="801"/>
      <c r="F5" s="813" t="str">
        <f t="shared" si="0"/>
        <v>----</v>
      </c>
      <c r="G5" s="801"/>
      <c r="H5" s="813" t="str">
        <f t="shared" si="1"/>
        <v>----</v>
      </c>
      <c r="I5" s="798">
        <v>589366.92000000004</v>
      </c>
      <c r="J5" s="814">
        <f t="shared" si="2"/>
        <v>17689.430000000051</v>
      </c>
      <c r="K5" t="s">
        <v>867</v>
      </c>
    </row>
    <row r="6" spans="1:11">
      <c r="A6" s="91">
        <v>45188</v>
      </c>
      <c r="B6" s="92" t="s">
        <v>660</v>
      </c>
      <c r="C6" s="788">
        <v>1252888.1499999999</v>
      </c>
      <c r="D6" s="803">
        <f>C6-75000-1000000</f>
        <v>177888.14999999991</v>
      </c>
      <c r="E6" s="805"/>
      <c r="F6" s="668" t="str">
        <f t="shared" si="0"/>
        <v>----</v>
      </c>
      <c r="G6" s="805"/>
      <c r="H6" s="668" t="str">
        <f t="shared" si="1"/>
        <v>----</v>
      </c>
      <c r="I6" s="804"/>
      <c r="J6" s="669" t="str">
        <f t="shared" si="2"/>
        <v>----</v>
      </c>
      <c r="K6" t="s">
        <v>661</v>
      </c>
    </row>
    <row r="7" spans="1:11">
      <c r="A7" s="88">
        <v>45734</v>
      </c>
      <c r="B7" s="703" t="s">
        <v>863</v>
      </c>
      <c r="C7" s="790">
        <v>186029.75</v>
      </c>
      <c r="D7" s="794">
        <f>C7</f>
        <v>186029.75</v>
      </c>
      <c r="E7" s="801"/>
      <c r="F7" s="813" t="str">
        <f t="shared" si="0"/>
        <v>----</v>
      </c>
      <c r="G7" s="801"/>
      <c r="H7" s="813" t="str">
        <f t="shared" si="1"/>
        <v>----</v>
      </c>
      <c r="I7" s="798"/>
      <c r="J7" s="814" t="str">
        <f t="shared" si="2"/>
        <v>----</v>
      </c>
    </row>
    <row r="8" spans="1:11">
      <c r="A8" s="91">
        <v>45762</v>
      </c>
      <c r="B8" s="413" t="s">
        <v>870</v>
      </c>
      <c r="C8" s="788">
        <v>557691.43999999994</v>
      </c>
      <c r="D8" s="803">
        <f>C8</f>
        <v>557691.43999999994</v>
      </c>
      <c r="E8" s="805"/>
      <c r="F8" s="668" t="str">
        <f t="shared" si="0"/>
        <v>----</v>
      </c>
      <c r="G8" s="805"/>
      <c r="H8" s="668" t="str">
        <f t="shared" si="1"/>
        <v>----</v>
      </c>
      <c r="I8" s="804"/>
      <c r="J8" s="669" t="str">
        <f t="shared" si="2"/>
        <v>----</v>
      </c>
    </row>
    <row r="9" spans="1:11">
      <c r="A9" s="88"/>
      <c r="B9" s="101"/>
      <c r="C9" s="790"/>
      <c r="D9" s="794"/>
      <c r="E9" s="801"/>
      <c r="F9" s="813" t="str">
        <f t="shared" si="0"/>
        <v>----</v>
      </c>
      <c r="G9" s="801"/>
      <c r="H9" s="813" t="str">
        <f t="shared" si="1"/>
        <v>----</v>
      </c>
      <c r="I9" s="798"/>
      <c r="J9" s="814" t="str">
        <f t="shared" si="2"/>
        <v>----</v>
      </c>
    </row>
    <row r="10" spans="1:11">
      <c r="A10" s="91"/>
      <c r="B10" s="92"/>
      <c r="C10" s="788"/>
      <c r="D10" s="803"/>
      <c r="E10" s="805"/>
      <c r="F10" s="668" t="str">
        <f t="shared" si="0"/>
        <v>----</v>
      </c>
      <c r="G10" s="805"/>
      <c r="H10" s="668" t="str">
        <f t="shared" si="1"/>
        <v>----</v>
      </c>
      <c r="I10" s="804"/>
      <c r="J10" s="669" t="str">
        <f t="shared" si="2"/>
        <v>----</v>
      </c>
    </row>
    <row r="11" spans="1:11">
      <c r="A11" s="88"/>
      <c r="B11" s="101"/>
      <c r="C11" s="790"/>
      <c r="D11" s="794"/>
      <c r="E11" s="801"/>
      <c r="F11" s="813" t="str">
        <f t="shared" si="0"/>
        <v>----</v>
      </c>
      <c r="G11" s="801"/>
      <c r="H11" s="813" t="str">
        <f t="shared" si="1"/>
        <v>----</v>
      </c>
      <c r="I11" s="798"/>
      <c r="J11" s="814" t="str">
        <f t="shared" si="2"/>
        <v>----</v>
      </c>
    </row>
    <row r="12" spans="1:11">
      <c r="A12" s="91"/>
      <c r="B12" s="92"/>
      <c r="C12" s="788"/>
      <c r="D12" s="803"/>
      <c r="E12" s="805"/>
      <c r="F12" s="668" t="str">
        <f t="shared" si="0"/>
        <v>----</v>
      </c>
      <c r="G12" s="805"/>
      <c r="H12" s="668" t="str">
        <f t="shared" si="1"/>
        <v>----</v>
      </c>
      <c r="I12" s="804"/>
      <c r="J12" s="669" t="str">
        <f t="shared" si="2"/>
        <v>----</v>
      </c>
    </row>
    <row r="13" spans="1:11">
      <c r="A13" s="88"/>
      <c r="B13" s="101"/>
      <c r="C13" s="790"/>
      <c r="D13" s="794"/>
      <c r="E13" s="801"/>
      <c r="F13" s="813" t="str">
        <f t="shared" si="0"/>
        <v>----</v>
      </c>
      <c r="G13" s="801"/>
      <c r="H13" s="813" t="str">
        <f t="shared" si="1"/>
        <v>----</v>
      </c>
      <c r="I13" s="798"/>
      <c r="J13" s="814" t="str">
        <f t="shared" si="2"/>
        <v>----</v>
      </c>
    </row>
    <row r="14" spans="1:11">
      <c r="A14" s="91"/>
      <c r="B14" s="92"/>
      <c r="C14" s="788"/>
      <c r="D14" s="803"/>
      <c r="E14" s="805"/>
      <c r="F14" s="668" t="str">
        <f t="shared" si="0"/>
        <v>----</v>
      </c>
      <c r="G14" s="805"/>
      <c r="H14" s="668" t="str">
        <f t="shared" si="1"/>
        <v>----</v>
      </c>
      <c r="I14" s="804"/>
      <c r="J14" s="669" t="str">
        <f t="shared" si="2"/>
        <v>----</v>
      </c>
    </row>
    <row r="15" spans="1:11">
      <c r="A15" s="88"/>
      <c r="B15" s="101"/>
      <c r="C15" s="790"/>
      <c r="D15" s="794"/>
      <c r="E15" s="801"/>
      <c r="F15" s="813" t="str">
        <f t="shared" si="0"/>
        <v>----</v>
      </c>
      <c r="G15" s="801"/>
      <c r="H15" s="813" t="str">
        <f t="shared" si="1"/>
        <v>----</v>
      </c>
      <c r="I15" s="798"/>
      <c r="J15" s="814" t="str">
        <f t="shared" si="2"/>
        <v>----</v>
      </c>
    </row>
    <row r="16" spans="1:11">
      <c r="A16" s="91"/>
      <c r="B16" s="92"/>
      <c r="C16" s="788"/>
      <c r="D16" s="803"/>
      <c r="E16" s="805"/>
      <c r="F16" s="668" t="str">
        <f t="shared" si="0"/>
        <v>----</v>
      </c>
      <c r="G16" s="805"/>
      <c r="H16" s="668" t="str">
        <f t="shared" si="1"/>
        <v>----</v>
      </c>
      <c r="I16" s="804"/>
      <c r="J16" s="669" t="str">
        <f t="shared" si="2"/>
        <v>----</v>
      </c>
    </row>
    <row r="17" spans="1:10">
      <c r="A17" s="88"/>
      <c r="B17" s="101"/>
      <c r="C17" s="790"/>
      <c r="D17" s="794"/>
      <c r="E17" s="801"/>
      <c r="F17" s="813" t="str">
        <f t="shared" si="0"/>
        <v>----</v>
      </c>
      <c r="G17" s="801"/>
      <c r="H17" s="813" t="str">
        <f t="shared" si="1"/>
        <v>----</v>
      </c>
      <c r="I17" s="798"/>
      <c r="J17" s="814" t="str">
        <f t="shared" si="2"/>
        <v>----</v>
      </c>
    </row>
    <row r="18" spans="1:10">
      <c r="A18" s="91"/>
      <c r="B18" s="92"/>
      <c r="C18" s="788"/>
      <c r="D18" s="803"/>
      <c r="E18" s="805"/>
      <c r="F18" s="668" t="str">
        <f t="shared" si="0"/>
        <v>----</v>
      </c>
      <c r="G18" s="805"/>
      <c r="H18" s="668" t="str">
        <f t="shared" si="1"/>
        <v>----</v>
      </c>
      <c r="I18" s="804"/>
      <c r="J18" s="669" t="str">
        <f t="shared" si="2"/>
        <v>----</v>
      </c>
    </row>
    <row r="19" spans="1:10">
      <c r="A19" s="88"/>
      <c r="B19" s="101"/>
      <c r="C19" s="790"/>
      <c r="D19" s="794"/>
      <c r="E19" s="801"/>
      <c r="F19" s="813" t="str">
        <f t="shared" si="0"/>
        <v>----</v>
      </c>
      <c r="G19" s="801"/>
      <c r="H19" s="813" t="str">
        <f t="shared" si="1"/>
        <v>----</v>
      </c>
      <c r="I19" s="798"/>
      <c r="J19" s="814" t="str">
        <f t="shared" si="2"/>
        <v>----</v>
      </c>
    </row>
    <row r="20" spans="1:10">
      <c r="A20" s="91"/>
      <c r="B20" s="92"/>
      <c r="C20" s="788"/>
      <c r="D20" s="803"/>
      <c r="E20" s="805"/>
      <c r="F20" s="668" t="str">
        <f t="shared" si="0"/>
        <v>----</v>
      </c>
      <c r="G20" s="805"/>
      <c r="H20" s="668" t="str">
        <f t="shared" si="1"/>
        <v>----</v>
      </c>
      <c r="I20" s="804"/>
      <c r="J20" s="669" t="str">
        <f t="shared" si="2"/>
        <v>----</v>
      </c>
    </row>
    <row r="21" spans="1:10">
      <c r="A21" s="88"/>
      <c r="B21" s="101"/>
      <c r="C21" s="790"/>
      <c r="D21" s="794"/>
      <c r="E21" s="801"/>
      <c r="F21" s="813" t="str">
        <f t="shared" si="0"/>
        <v>----</v>
      </c>
      <c r="G21" s="801"/>
      <c r="H21" s="813" t="str">
        <f t="shared" si="1"/>
        <v>----</v>
      </c>
      <c r="I21" s="798"/>
      <c r="J21" s="814" t="str">
        <f t="shared" si="2"/>
        <v>----</v>
      </c>
    </row>
    <row r="22" spans="1:10">
      <c r="A22" s="91"/>
      <c r="B22" s="92"/>
      <c r="C22" s="788"/>
      <c r="D22" s="803"/>
      <c r="E22" s="805"/>
      <c r="F22" s="668" t="str">
        <f t="shared" si="0"/>
        <v>----</v>
      </c>
      <c r="G22" s="805"/>
      <c r="H22" s="668" t="str">
        <f t="shared" si="1"/>
        <v>----</v>
      </c>
      <c r="I22" s="804"/>
      <c r="J22" s="669" t="str">
        <f t="shared" si="2"/>
        <v>----</v>
      </c>
    </row>
    <row r="23" spans="1:10">
      <c r="A23" s="88"/>
      <c r="B23" s="101"/>
      <c r="C23" s="790"/>
      <c r="D23" s="794"/>
      <c r="E23" s="801"/>
      <c r="F23" s="813" t="str">
        <f t="shared" si="0"/>
        <v>----</v>
      </c>
      <c r="G23" s="801"/>
      <c r="H23" s="813" t="str">
        <f t="shared" si="1"/>
        <v>----</v>
      </c>
      <c r="I23" s="798"/>
      <c r="J23" s="814" t="str">
        <f t="shared" si="2"/>
        <v>----</v>
      </c>
    </row>
    <row r="24" spans="1:10">
      <c r="A24" s="91"/>
      <c r="B24" s="92"/>
      <c r="C24" s="788"/>
      <c r="D24" s="803"/>
      <c r="E24" s="805"/>
      <c r="F24" s="668" t="str">
        <f t="shared" si="0"/>
        <v>----</v>
      </c>
      <c r="G24" s="805"/>
      <c r="H24" s="668" t="str">
        <f t="shared" si="1"/>
        <v>----</v>
      </c>
      <c r="I24" s="804"/>
      <c r="J24" s="669" t="str">
        <f t="shared" si="2"/>
        <v>----</v>
      </c>
    </row>
    <row r="25" spans="1:10" ht="15.75" thickBot="1">
      <c r="A25" s="74"/>
      <c r="B25" s="75"/>
      <c r="C25" s="789"/>
      <c r="D25" s="796"/>
      <c r="E25" s="802"/>
      <c r="F25" s="807" t="str">
        <f t="shared" si="0"/>
        <v>----</v>
      </c>
      <c r="G25" s="802"/>
      <c r="H25" s="807" t="str">
        <f t="shared" si="1"/>
        <v>----</v>
      </c>
      <c r="I25" s="799"/>
      <c r="J25" s="808" t="str">
        <f t="shared" si="2"/>
        <v>----</v>
      </c>
    </row>
    <row r="26" spans="1:10" ht="15.75" thickBot="1">
      <c r="A26" s="27"/>
      <c r="B26" s="27"/>
      <c r="C26" s="820"/>
      <c r="D26" s="820"/>
      <c r="E26" s="820"/>
      <c r="F26" s="821">
        <f>SUM(F4:F25)</f>
        <v>0</v>
      </c>
      <c r="G26" s="820"/>
      <c r="H26" s="821">
        <f>SUM(H4:H25)</f>
        <v>0</v>
      </c>
      <c r="I26" s="820"/>
      <c r="J26" s="821">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43446356.786000006</v>
      </c>
      <c r="E10" s="267">
        <f>E9+B10+C10-D10</f>
        <v>16527861.087000005</v>
      </c>
      <c r="F10" s="22"/>
      <c r="G10" s="22"/>
      <c r="H10" s="267">
        <f t="shared" si="0"/>
        <v>13025091.214000009</v>
      </c>
      <c r="I10" s="267">
        <f t="shared" si="3"/>
        <v>-11637296.123999998</v>
      </c>
      <c r="J10" s="22"/>
    </row>
    <row r="11" spans="1:11">
      <c r="B11" s="266" t="s">
        <v>500</v>
      </c>
      <c r="D11" s="995" t="s">
        <v>501</v>
      </c>
      <c r="E11" s="995"/>
      <c r="F11" s="995"/>
      <c r="G11" s="995"/>
      <c r="H11" s="995"/>
      <c r="I11" s="995"/>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2025-10-01T13:19:29Z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ac733-ded1-41e0-8ea6-961193f81247_Enabled">
    <vt:lpwstr>true</vt:lpwstr>
  </property>
  <property fmtid="{D5CDD505-2E9C-101B-9397-08002B2CF9AE}" pid="3" name="MSIP_Label_0faac733-ded1-41e0-8ea6-961193f81247_SetDate">
    <vt:lpwstr>2025-05-23T01:21:21Z</vt:lpwstr>
  </property>
  <property fmtid="{D5CDD505-2E9C-101B-9397-08002B2CF9AE}" pid="4" name="MSIP_Label_0faac733-ded1-41e0-8ea6-961193f81247_Method">
    <vt:lpwstr>Standard</vt:lpwstr>
  </property>
  <property fmtid="{D5CDD505-2E9C-101B-9397-08002B2CF9AE}" pid="5" name="MSIP_Label_0faac733-ded1-41e0-8ea6-961193f81247_Name">
    <vt:lpwstr>defa4170-0d19-0005-0004-bc88714345d2</vt:lpwstr>
  </property>
  <property fmtid="{D5CDD505-2E9C-101B-9397-08002B2CF9AE}" pid="6" name="MSIP_Label_0faac733-ded1-41e0-8ea6-961193f81247_SiteId">
    <vt:lpwstr>a1e65fcc-32fa-4fdd-8692-0cc2eb06676e</vt:lpwstr>
  </property>
  <property fmtid="{D5CDD505-2E9C-101B-9397-08002B2CF9AE}" pid="7" name="MSIP_Label_0faac733-ded1-41e0-8ea6-961193f81247_ActionId">
    <vt:lpwstr>c28f11c4-e1f7-4325-a43a-9f6ecaeb69e5</vt:lpwstr>
  </property>
  <property fmtid="{D5CDD505-2E9C-101B-9397-08002B2CF9AE}" pid="8" name="MSIP_Label_0faac733-ded1-41e0-8ea6-961193f81247_ContentBits">
    <vt:lpwstr>0</vt:lpwstr>
  </property>
</Properties>
</file>