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defaultThemeVersion="124226"/>
  <mc:AlternateContent xmlns:mc="http://schemas.openxmlformats.org/markup-compatibility/2006">
    <mc:Choice Requires="x15">
      <x15ac:absPath xmlns:x15ac="http://schemas.microsoft.com/office/spreadsheetml/2010/11/ac" url="https://iadot-my.sharepoint.com/personal/john_hart_iowadot_us/Documents/Desktop/HMA Shared/John/Computer Programs/Random Core Locator Spreadsheet/"/>
    </mc:Choice>
  </mc:AlternateContent>
  <xr:revisionPtr revIDLastSave="0" documentId="13_ncr:1_{0FA675A8-10D6-4EFD-A331-8235C4B725AD}" xr6:coauthVersionLast="47" xr6:coauthVersionMax="47" xr10:uidLastSave="{00000000-0000-0000-0000-000000000000}"/>
  <bookViews>
    <workbookView xWindow="28680" yWindow="-120" windowWidth="29040" windowHeight="15720" activeTab="1" xr2:uid="{00000000-000D-0000-FFFF-FFFF00000000}"/>
  </bookViews>
  <sheets>
    <sheet name="Instructions" sheetId="2" r:id="rId1"/>
    <sheet name="PWL CORES" sheetId="8" r:id="rId2"/>
    <sheet name="CIPR" sheetId="6" r:id="rId3"/>
    <sheet name="Random" sheetId="3" r:id="rId4"/>
    <sheet name="SUDAS" sheetId="1" r:id="rId5"/>
    <sheet name="SUDAS Test Strip" sheetId="5" r:id="rId6"/>
  </sheets>
  <definedNames>
    <definedName name="_xlnm.Print_Area" localSheetId="2">CIPR!$A$1:$L$72</definedName>
    <definedName name="_xlnm.Print_Area" localSheetId="0">Instructions!$A$1:$L$102</definedName>
    <definedName name="_xlnm.Print_Area" localSheetId="1">'PWL CORES'!$A$1:$AG$95</definedName>
    <definedName name="_xlnm.Print_Area" localSheetId="3">Random!$A$1:$G$37</definedName>
    <definedName name="_xlnm.Print_Area" localSheetId="4">SUDAS!$A$1:$L$70</definedName>
    <definedName name="_xlnm.Print_Area" localSheetId="5">'SUDAS Test Strip'!$A$1:$L$73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4" i="8" l="1"/>
  <c r="S13" i="8"/>
  <c r="S12" i="8"/>
  <c r="S11" i="8"/>
  <c r="N3" i="8" l="1"/>
  <c r="M14" i="8"/>
  <c r="P14" i="8" s="1"/>
  <c r="M13" i="8"/>
  <c r="P13" i="8" s="1"/>
  <c r="M12" i="8"/>
  <c r="M11" i="8"/>
  <c r="G17" i="8"/>
  <c r="G15" i="8"/>
  <c r="G13" i="8"/>
  <c r="G11" i="8"/>
  <c r="F18" i="8"/>
  <c r="K10" i="8"/>
  <c r="D10" i="8"/>
  <c r="B10" i="8"/>
  <c r="J10" i="8" s="1"/>
  <c r="A10" i="8"/>
  <c r="I10" i="8" s="1"/>
  <c r="N13" i="8" l="1"/>
  <c r="O14" i="8"/>
  <c r="O13" i="8"/>
  <c r="K15" i="8"/>
  <c r="N14" i="8"/>
  <c r="K17" i="8"/>
  <c r="O12" i="8"/>
  <c r="O11" i="8"/>
  <c r="N11" i="8"/>
  <c r="N12" i="8"/>
  <c r="A3" i="8"/>
  <c r="B26" i="8"/>
  <c r="D26" i="8" s="1"/>
  <c r="Q14" i="8" l="1" a="1"/>
  <c r="Q14" i="8" s="1"/>
  <c r="AL25" i="8" s="1"/>
  <c r="R14" i="8" a="1"/>
  <c r="R14" i="8" s="1"/>
  <c r="AM25" i="8" s="1"/>
  <c r="Q13" i="8" a="1"/>
  <c r="Q13" i="8" s="1"/>
  <c r="AL24" i="8" s="1"/>
  <c r="R13" i="8" a="1"/>
  <c r="R13" i="8" s="1"/>
  <c r="AM24" i="8" s="1"/>
  <c r="F26" i="8"/>
  <c r="J26" i="8"/>
  <c r="D1" i="8"/>
  <c r="Q5" i="8"/>
  <c r="P5" i="8"/>
  <c r="M4" i="8"/>
  <c r="R3" i="8"/>
  <c r="J49" i="8"/>
  <c r="D11" i="8"/>
  <c r="K11" i="8" s="1"/>
  <c r="P11" i="8" s="1"/>
  <c r="J79" i="8"/>
  <c r="J74" i="8"/>
  <c r="J69" i="8"/>
  <c r="J64" i="8"/>
  <c r="J59" i="8"/>
  <c r="J54" i="8"/>
  <c r="J44" i="8"/>
  <c r="J39" i="8"/>
  <c r="J34" i="8"/>
  <c r="J29" i="8"/>
  <c r="J24" i="8"/>
  <c r="G79" i="8"/>
  <c r="G74" i="8"/>
  <c r="G69" i="8"/>
  <c r="G64" i="8"/>
  <c r="G59" i="8"/>
  <c r="G54" i="8"/>
  <c r="G49" i="8"/>
  <c r="G44" i="8"/>
  <c r="G39" i="8"/>
  <c r="G34" i="8"/>
  <c r="G29" i="8"/>
  <c r="G24" i="8"/>
  <c r="D17" i="8"/>
  <c r="D15" i="8"/>
  <c r="D13" i="8"/>
  <c r="K13" i="8" s="1"/>
  <c r="P12" i="8" s="1"/>
  <c r="Q6" i="8"/>
  <c r="Q4" i="8"/>
  <c r="Q3" i="8"/>
  <c r="P6" i="8"/>
  <c r="P4" i="8"/>
  <c r="P3" i="8"/>
  <c r="M29" i="8"/>
  <c r="M34" i="8" s="1"/>
  <c r="M39" i="8" s="1"/>
  <c r="M44" i="8" s="1"/>
  <c r="M49" i="8" s="1"/>
  <c r="M54" i="8" s="1"/>
  <c r="M59" i="8" s="1"/>
  <c r="M64" i="8" s="1"/>
  <c r="M69" i="8" s="1"/>
  <c r="M74" i="8" s="1"/>
  <c r="M79" i="8" s="1"/>
  <c r="T4" i="8"/>
  <c r="K91" i="8"/>
  <c r="K95" i="8" s="1"/>
  <c r="H13" i="6"/>
  <c r="H11" i="6"/>
  <c r="H19" i="6" s="1"/>
  <c r="K13" i="6"/>
  <c r="H17" i="5"/>
  <c r="K17" i="5" s="1"/>
  <c r="H15" i="5"/>
  <c r="K15" i="5"/>
  <c r="H13" i="5"/>
  <c r="K13" i="5"/>
  <c r="H11" i="5"/>
  <c r="H19" i="5"/>
  <c r="K11" i="5" s="1"/>
  <c r="H17" i="1"/>
  <c r="K17" i="1" s="1"/>
  <c r="H15" i="1"/>
  <c r="K15" i="1" s="1"/>
  <c r="H13" i="1"/>
  <c r="K13" i="1" s="1"/>
  <c r="H11" i="1"/>
  <c r="H19" i="1" s="1"/>
  <c r="H58" i="5"/>
  <c r="H44" i="6"/>
  <c r="H49" i="6"/>
  <c r="H54" i="6"/>
  <c r="H59" i="6"/>
  <c r="H64" i="6"/>
  <c r="H69" i="6"/>
  <c r="H39" i="6"/>
  <c r="B69" i="6"/>
  <c r="D69" i="6" s="1"/>
  <c r="B64" i="6"/>
  <c r="D64" i="6" s="1"/>
  <c r="B71" i="6"/>
  <c r="D71" i="6" s="1"/>
  <c r="B66" i="6"/>
  <c r="D66" i="6" s="1"/>
  <c r="F66" i="6"/>
  <c r="C21" i="6"/>
  <c r="B24" i="6"/>
  <c r="D24" i="6" s="1"/>
  <c r="F24" i="6"/>
  <c r="H24" i="6"/>
  <c r="L24" i="6"/>
  <c r="B26" i="6"/>
  <c r="D26" i="6" s="1"/>
  <c r="B29" i="6"/>
  <c r="D29" i="6" s="1"/>
  <c r="H29" i="6"/>
  <c r="B31" i="6"/>
  <c r="D31" i="6" s="1"/>
  <c r="B34" i="6"/>
  <c r="D34" i="6" s="1"/>
  <c r="F34" i="6"/>
  <c r="L34" i="6" s="1"/>
  <c r="H34" i="6"/>
  <c r="B36" i="6"/>
  <c r="F36" i="6" s="1"/>
  <c r="D36" i="6"/>
  <c r="B39" i="6"/>
  <c r="D39" i="6" s="1"/>
  <c r="B41" i="6"/>
  <c r="D41" i="6" s="1"/>
  <c r="B44" i="6"/>
  <c r="D44" i="6" s="1"/>
  <c r="B46" i="6"/>
  <c r="D46" i="6" s="1"/>
  <c r="F46" i="6"/>
  <c r="B49" i="6"/>
  <c r="D49" i="6" s="1"/>
  <c r="F49" i="6"/>
  <c r="L49" i="6" s="1"/>
  <c r="B51" i="6"/>
  <c r="D51" i="6" s="1"/>
  <c r="F51" i="6"/>
  <c r="B54" i="6"/>
  <c r="D54" i="6"/>
  <c r="F54" i="6"/>
  <c r="L54" i="6"/>
  <c r="B56" i="6"/>
  <c r="D56" i="6" s="1"/>
  <c r="F56" i="6"/>
  <c r="B59" i="6"/>
  <c r="D59" i="6" s="1"/>
  <c r="B61" i="6"/>
  <c r="D61" i="6" s="1"/>
  <c r="H44" i="5"/>
  <c r="H49" i="5"/>
  <c r="B58" i="5"/>
  <c r="D58" i="5" s="1"/>
  <c r="B60" i="5"/>
  <c r="D60" i="5" s="1"/>
  <c r="F60" i="5" s="1"/>
  <c r="B21" i="5"/>
  <c r="C21" i="5"/>
  <c r="B24" i="5"/>
  <c r="D24" i="5" s="1"/>
  <c r="H24" i="5"/>
  <c r="B26" i="5"/>
  <c r="D26" i="5" s="1"/>
  <c r="B29" i="5"/>
  <c r="D29" i="5" s="1"/>
  <c r="H29" i="5"/>
  <c r="B31" i="5"/>
  <c r="D31" i="5" s="1"/>
  <c r="B34" i="5"/>
  <c r="D34" i="5" s="1"/>
  <c r="H34" i="5"/>
  <c r="B36" i="5"/>
  <c r="D36" i="5" s="1"/>
  <c r="B39" i="5"/>
  <c r="D39" i="5" s="1"/>
  <c r="H39" i="5"/>
  <c r="B41" i="5"/>
  <c r="D41" i="5" s="1"/>
  <c r="B44" i="5"/>
  <c r="D44" i="5" s="1"/>
  <c r="B46" i="5"/>
  <c r="D46" i="5"/>
  <c r="F46" i="5" s="1"/>
  <c r="B49" i="5"/>
  <c r="D49" i="5" s="1"/>
  <c r="B51" i="5"/>
  <c r="D51" i="5" s="1"/>
  <c r="F51" i="5" s="1"/>
  <c r="B54" i="5"/>
  <c r="D54" i="5" s="1"/>
  <c r="H54" i="5"/>
  <c r="B56" i="5"/>
  <c r="D56" i="5" s="1"/>
  <c r="F56" i="5" s="1"/>
  <c r="K69" i="5"/>
  <c r="K73" i="5" s="1"/>
  <c r="G37" i="3"/>
  <c r="F37" i="3"/>
  <c r="E37" i="3"/>
  <c r="D37" i="3"/>
  <c r="C37" i="3"/>
  <c r="B37" i="3"/>
  <c r="G36" i="3"/>
  <c r="F36" i="3"/>
  <c r="E36" i="3"/>
  <c r="D36" i="3"/>
  <c r="C36" i="3"/>
  <c r="B36" i="3"/>
  <c r="G35" i="3"/>
  <c r="F35" i="3"/>
  <c r="E35" i="3"/>
  <c r="D35" i="3"/>
  <c r="C35" i="3"/>
  <c r="B35" i="3"/>
  <c r="G34" i="3"/>
  <c r="F34" i="3"/>
  <c r="E34" i="3"/>
  <c r="D34" i="3"/>
  <c r="C34" i="3"/>
  <c r="B34" i="3"/>
  <c r="G33" i="3"/>
  <c r="F33" i="3"/>
  <c r="E33" i="3"/>
  <c r="D33" i="3"/>
  <c r="C33" i="3"/>
  <c r="B33" i="3"/>
  <c r="G32" i="3"/>
  <c r="F32" i="3"/>
  <c r="E32" i="3"/>
  <c r="D32" i="3"/>
  <c r="C32" i="3"/>
  <c r="B32" i="3"/>
  <c r="G31" i="3"/>
  <c r="F31" i="3"/>
  <c r="E31" i="3"/>
  <c r="D31" i="3"/>
  <c r="C31" i="3"/>
  <c r="B31" i="3"/>
  <c r="G30" i="3"/>
  <c r="F30" i="3"/>
  <c r="E30" i="3"/>
  <c r="D30" i="3"/>
  <c r="C30" i="3"/>
  <c r="B30" i="3"/>
  <c r="G29" i="3"/>
  <c r="F29" i="3"/>
  <c r="E29" i="3"/>
  <c r="D29" i="3"/>
  <c r="C29" i="3"/>
  <c r="B29" i="3"/>
  <c r="G28" i="3"/>
  <c r="F28" i="3"/>
  <c r="E28" i="3"/>
  <c r="D28" i="3"/>
  <c r="C28" i="3"/>
  <c r="B28" i="3"/>
  <c r="G27" i="3"/>
  <c r="F27" i="3"/>
  <c r="E27" i="3"/>
  <c r="D27" i="3"/>
  <c r="C27" i="3"/>
  <c r="B27" i="3"/>
  <c r="G26" i="3"/>
  <c r="F26" i="3"/>
  <c r="E26" i="3"/>
  <c r="D26" i="3"/>
  <c r="C26" i="3"/>
  <c r="B26" i="3"/>
  <c r="G25" i="3"/>
  <c r="F25" i="3"/>
  <c r="E25" i="3"/>
  <c r="D25" i="3"/>
  <c r="C25" i="3"/>
  <c r="B25" i="3"/>
  <c r="G24" i="3"/>
  <c r="F24" i="3"/>
  <c r="E24" i="3"/>
  <c r="D24" i="3"/>
  <c r="C24" i="3"/>
  <c r="B24" i="3"/>
  <c r="G23" i="3"/>
  <c r="F23" i="3"/>
  <c r="E23" i="3"/>
  <c r="D23" i="3"/>
  <c r="C23" i="3"/>
  <c r="B23" i="3"/>
  <c r="G22" i="3"/>
  <c r="F22" i="3"/>
  <c r="E22" i="3"/>
  <c r="D22" i="3"/>
  <c r="C22" i="3"/>
  <c r="B22" i="3"/>
  <c r="G21" i="3"/>
  <c r="F21" i="3"/>
  <c r="E21" i="3"/>
  <c r="D21" i="3"/>
  <c r="C21" i="3"/>
  <c r="B21" i="3"/>
  <c r="G20" i="3"/>
  <c r="F20" i="3"/>
  <c r="E20" i="3"/>
  <c r="D20" i="3"/>
  <c r="C20" i="3"/>
  <c r="B20" i="3"/>
  <c r="G19" i="3"/>
  <c r="F19" i="3"/>
  <c r="E19" i="3"/>
  <c r="D19" i="3"/>
  <c r="C19" i="3"/>
  <c r="B19" i="3"/>
  <c r="G18" i="3"/>
  <c r="F18" i="3"/>
  <c r="E18" i="3"/>
  <c r="D18" i="3"/>
  <c r="C18" i="3"/>
  <c r="B18" i="3"/>
  <c r="G17" i="3"/>
  <c r="F17" i="3"/>
  <c r="E17" i="3"/>
  <c r="D17" i="3"/>
  <c r="C17" i="3"/>
  <c r="B17" i="3"/>
  <c r="G16" i="3"/>
  <c r="F16" i="3"/>
  <c r="E16" i="3"/>
  <c r="D16" i="3"/>
  <c r="C16" i="3"/>
  <c r="B16" i="3"/>
  <c r="G15" i="3"/>
  <c r="F15" i="3"/>
  <c r="E15" i="3"/>
  <c r="D15" i="3"/>
  <c r="C15" i="3"/>
  <c r="B15" i="3"/>
  <c r="G14" i="3"/>
  <c r="F14" i="3"/>
  <c r="E14" i="3"/>
  <c r="D14" i="3"/>
  <c r="C14" i="3"/>
  <c r="B14" i="3"/>
  <c r="G13" i="3"/>
  <c r="F13" i="3"/>
  <c r="E13" i="3"/>
  <c r="D13" i="3"/>
  <c r="C13" i="3"/>
  <c r="B13" i="3"/>
  <c r="G12" i="3"/>
  <c r="F12" i="3"/>
  <c r="E12" i="3"/>
  <c r="D12" i="3"/>
  <c r="C12" i="3"/>
  <c r="B12" i="3"/>
  <c r="G11" i="3"/>
  <c r="F11" i="3"/>
  <c r="E11" i="3"/>
  <c r="D11" i="3"/>
  <c r="C11" i="3"/>
  <c r="B11" i="3"/>
  <c r="G10" i="3"/>
  <c r="F10" i="3"/>
  <c r="E10" i="3"/>
  <c r="D10" i="3"/>
  <c r="C10" i="3"/>
  <c r="B10" i="3"/>
  <c r="G9" i="3"/>
  <c r="F9" i="3"/>
  <c r="E9" i="3"/>
  <c r="D9" i="3"/>
  <c r="C9" i="3"/>
  <c r="B9" i="3"/>
  <c r="G8" i="3"/>
  <c r="F8" i="3"/>
  <c r="E8" i="3"/>
  <c r="D8" i="3"/>
  <c r="C8" i="3"/>
  <c r="B8" i="3"/>
  <c r="G7" i="3"/>
  <c r="F7" i="3"/>
  <c r="E7" i="3"/>
  <c r="D7" i="3"/>
  <c r="C7" i="3"/>
  <c r="B7" i="3"/>
  <c r="G6" i="3"/>
  <c r="F6" i="3"/>
  <c r="E6" i="3"/>
  <c r="D6" i="3"/>
  <c r="C6" i="3"/>
  <c r="B6" i="3"/>
  <c r="G5" i="3"/>
  <c r="F5" i="3"/>
  <c r="E5" i="3"/>
  <c r="D5" i="3"/>
  <c r="C5" i="3"/>
  <c r="B5" i="3"/>
  <c r="G4" i="3"/>
  <c r="F4" i="3"/>
  <c r="E4" i="3"/>
  <c r="D4" i="3"/>
  <c r="C4" i="3"/>
  <c r="B4" i="3"/>
  <c r="G3" i="3"/>
  <c r="F3" i="3"/>
  <c r="E3" i="3"/>
  <c r="D3" i="3"/>
  <c r="C3" i="3"/>
  <c r="B3" i="3"/>
  <c r="G2" i="3"/>
  <c r="F2" i="3"/>
  <c r="E2" i="3"/>
  <c r="D2" i="3"/>
  <c r="C2" i="3"/>
  <c r="B2" i="3"/>
  <c r="H39" i="1"/>
  <c r="H49" i="1"/>
  <c r="B54" i="1"/>
  <c r="D54" i="1" s="1"/>
  <c r="F54" i="1" s="1"/>
  <c r="B44" i="1"/>
  <c r="D44" i="1" s="1"/>
  <c r="F44" i="1" s="1"/>
  <c r="B34" i="1"/>
  <c r="H24" i="1"/>
  <c r="K66" i="1"/>
  <c r="K70" i="1" s="1"/>
  <c r="D34" i="1"/>
  <c r="F34" i="1" s="1"/>
  <c r="B56" i="1"/>
  <c r="D56" i="1"/>
  <c r="F56" i="1" s="1"/>
  <c r="B51" i="1"/>
  <c r="D51" i="1" s="1"/>
  <c r="F51" i="1" s="1"/>
  <c r="B46" i="1"/>
  <c r="D46" i="1"/>
  <c r="F46" i="1" s="1"/>
  <c r="B41" i="1"/>
  <c r="D41" i="1"/>
  <c r="F41" i="1" s="1"/>
  <c r="B36" i="1"/>
  <c r="D36" i="1" s="1"/>
  <c r="F36" i="1" s="1"/>
  <c r="B31" i="1"/>
  <c r="D31" i="1"/>
  <c r="F31" i="1" s="1"/>
  <c r="B26" i="1"/>
  <c r="D26" i="1"/>
  <c r="F26" i="1" s="1"/>
  <c r="C21" i="1"/>
  <c r="H21" i="5" l="1"/>
  <c r="F64" i="6"/>
  <c r="L64" i="6" s="1"/>
  <c r="F44" i="6"/>
  <c r="L44" i="6" s="1"/>
  <c r="F26" i="6"/>
  <c r="F71" i="6"/>
  <c r="AS3" i="8"/>
  <c r="AS2" i="8"/>
  <c r="N4" i="8"/>
  <c r="M5" i="8" s="1"/>
  <c r="T5" i="8"/>
  <c r="AT2" i="8"/>
  <c r="AT3" i="8"/>
  <c r="L19" i="8"/>
  <c r="AR3" i="8"/>
  <c r="AR2" i="8"/>
  <c r="AQ3" i="8"/>
  <c r="AQ2" i="8"/>
  <c r="O6" i="8"/>
  <c r="O4" i="8"/>
  <c r="O5" i="8"/>
  <c r="O3" i="8"/>
  <c r="H21" i="6"/>
  <c r="B21" i="6"/>
  <c r="F61" i="6"/>
  <c r="F39" i="6"/>
  <c r="L39" i="6" s="1"/>
  <c r="K11" i="6"/>
  <c r="F31" i="6"/>
  <c r="F69" i="6"/>
  <c r="L69" i="6" s="1"/>
  <c r="F59" i="6"/>
  <c r="L59" i="6" s="1"/>
  <c r="F41" i="6"/>
  <c r="F29" i="6"/>
  <c r="L29" i="6" s="1"/>
  <c r="K11" i="1"/>
  <c r="H21" i="1"/>
  <c r="B21" i="1"/>
  <c r="L44" i="1"/>
  <c r="H29" i="1"/>
  <c r="B24" i="1"/>
  <c r="D24" i="1" s="1"/>
  <c r="B29" i="1"/>
  <c r="D29" i="1" s="1"/>
  <c r="F29" i="1" s="1"/>
  <c r="L29" i="1" s="1"/>
  <c r="B39" i="1"/>
  <c r="D39" i="1" s="1"/>
  <c r="F39" i="1" s="1"/>
  <c r="L39" i="1" s="1"/>
  <c r="B49" i="1"/>
  <c r="D49" i="1" s="1"/>
  <c r="F49" i="1" s="1"/>
  <c r="L49" i="1" s="1"/>
  <c r="H54" i="1"/>
  <c r="L54" i="1" s="1"/>
  <c r="H44" i="1"/>
  <c r="H34" i="1"/>
  <c r="L34" i="1" s="1"/>
  <c r="A69" i="8"/>
  <c r="AE69" i="8" s="1"/>
  <c r="A79" i="8"/>
  <c r="AE79" i="8" s="1"/>
  <c r="R4" i="8"/>
  <c r="A64" i="8"/>
  <c r="AE64" i="8" s="1"/>
  <c r="A74" i="8"/>
  <c r="AE74" i="8" s="1"/>
  <c r="H26" i="8"/>
  <c r="F19" i="8"/>
  <c r="F41" i="5"/>
  <c r="F36" i="5"/>
  <c r="F31" i="5"/>
  <c r="F26" i="5"/>
  <c r="F24" i="5"/>
  <c r="L24" i="5" s="1"/>
  <c r="F58" i="5"/>
  <c r="L58" i="5" s="1"/>
  <c r="F44" i="5"/>
  <c r="L44" i="5" s="1"/>
  <c r="F54" i="5"/>
  <c r="L54" i="5" s="1"/>
  <c r="F39" i="5"/>
  <c r="L39" i="5" s="1"/>
  <c r="F34" i="5"/>
  <c r="L34" i="5" s="1"/>
  <c r="F29" i="5"/>
  <c r="L29" i="5" s="1"/>
  <c r="F49" i="5"/>
  <c r="L49" i="5" s="1"/>
  <c r="AJ22" i="8" l="1"/>
  <c r="AJ24" i="8"/>
  <c r="AJ23" i="8"/>
  <c r="T6" i="8"/>
  <c r="AJ25" i="8"/>
  <c r="N5" i="8"/>
  <c r="W5" i="8" s="1"/>
  <c r="F20" i="8"/>
  <c r="AI2" i="8" s="1"/>
  <c r="R5" i="8"/>
  <c r="F24" i="1"/>
  <c r="L24" i="1" s="1"/>
  <c r="H79" i="8"/>
  <c r="W3" i="8" l="1"/>
  <c r="V3" i="8"/>
  <c r="V4" i="8"/>
  <c r="W4" i="8"/>
  <c r="V5" i="8"/>
  <c r="G21" i="8"/>
  <c r="CG23" i="8"/>
  <c r="CG22" i="8"/>
  <c r="CG25" i="8"/>
  <c r="CG24" i="8"/>
  <c r="T7" i="8"/>
  <c r="M6" i="8"/>
  <c r="V6" i="8"/>
  <c r="W6" i="8"/>
  <c r="H31" i="8"/>
  <c r="N6" i="8" l="1"/>
  <c r="R6" i="8"/>
  <c r="T8" i="8"/>
  <c r="W7" i="8"/>
  <c r="V7" i="8"/>
  <c r="H36" i="8"/>
  <c r="U3" i="8" l="1"/>
  <c r="B24" i="8" s="1"/>
  <c r="U4" i="8"/>
  <c r="B29" i="8" s="1"/>
  <c r="U5" i="8"/>
  <c r="B34" i="8" s="1"/>
  <c r="U6" i="8"/>
  <c r="B39" i="8" s="1"/>
  <c r="D39" i="8" s="1"/>
  <c r="F39" i="8" s="1"/>
  <c r="U7" i="8"/>
  <c r="B44" i="8" s="1"/>
  <c r="D44" i="8" s="1"/>
  <c r="F44" i="8" s="1"/>
  <c r="X3" i="8"/>
  <c r="X7" i="8"/>
  <c r="Y7" i="8" s="1"/>
  <c r="AE44" i="8" s="1"/>
  <c r="X4" i="8"/>
  <c r="Y4" i="8" s="1"/>
  <c r="AE29" i="8" s="1"/>
  <c r="X6" i="8"/>
  <c r="Y6" i="8" s="1"/>
  <c r="AE39" i="8" s="1"/>
  <c r="X5" i="8"/>
  <c r="Y5" i="8" s="1"/>
  <c r="AE34" i="8" s="1"/>
  <c r="H44" i="8"/>
  <c r="T9" i="8"/>
  <c r="V8" i="8"/>
  <c r="U8" i="8"/>
  <c r="B49" i="8" s="1"/>
  <c r="D49" i="8" s="1"/>
  <c r="F49" i="8" s="1"/>
  <c r="W8" i="8"/>
  <c r="X8" i="8"/>
  <c r="Y8" i="8" s="1"/>
  <c r="AE49" i="8" s="1"/>
  <c r="H41" i="8"/>
  <c r="H24" i="8" l="1"/>
  <c r="Y3" i="8"/>
  <c r="AE24" i="8" s="1"/>
  <c r="H39" i="8"/>
  <c r="L39" i="8" s="1"/>
  <c r="H34" i="8"/>
  <c r="B31" i="8"/>
  <c r="B36" i="8" s="1"/>
  <c r="B41" i="8" s="1"/>
  <c r="D29" i="8"/>
  <c r="F29" i="8" s="1"/>
  <c r="H29" i="8"/>
  <c r="L44" i="8"/>
  <c r="D34" i="8"/>
  <c r="F34" i="8" s="1"/>
  <c r="D24" i="8"/>
  <c r="F24" i="8" s="1"/>
  <c r="H49" i="8"/>
  <c r="L49" i="8" s="1"/>
  <c r="T10" i="8"/>
  <c r="U9" i="8"/>
  <c r="B54" i="8" s="1"/>
  <c r="D54" i="8" s="1"/>
  <c r="F54" i="8" s="1"/>
  <c r="V9" i="8"/>
  <c r="W9" i="8"/>
  <c r="X9" i="8"/>
  <c r="Y9" i="8" s="1"/>
  <c r="AE54" i="8" s="1"/>
  <c r="H46" i="8"/>
  <c r="L24" i="8" l="1"/>
  <c r="L34" i="8"/>
  <c r="B46" i="8"/>
  <c r="L29" i="8"/>
  <c r="D31" i="8"/>
  <c r="F31" i="8" s="1"/>
  <c r="D41" i="8"/>
  <c r="J41" i="8" s="1"/>
  <c r="D36" i="8"/>
  <c r="F36" i="8" s="1"/>
  <c r="H54" i="8"/>
  <c r="L54" i="8" s="1"/>
  <c r="T11" i="8"/>
  <c r="V10" i="8"/>
  <c r="W10" i="8"/>
  <c r="U10" i="8"/>
  <c r="B59" i="8" s="1"/>
  <c r="D59" i="8" s="1"/>
  <c r="F59" i="8" s="1"/>
  <c r="X10" i="8"/>
  <c r="Y10" i="8" s="1"/>
  <c r="AE59" i="8" s="1"/>
  <c r="AK22" i="8"/>
  <c r="H51" i="8"/>
  <c r="AK23" i="8" l="1"/>
  <c r="F41" i="8"/>
  <c r="J36" i="8"/>
  <c r="J31" i="8"/>
  <c r="D46" i="8"/>
  <c r="F46" i="8" s="1"/>
  <c r="B51" i="8"/>
  <c r="H59" i="8"/>
  <c r="L59" i="8" s="1"/>
  <c r="Q12" i="8" s="1" a="1"/>
  <c r="Q12" i="8" s="1"/>
  <c r="T12" i="8"/>
  <c r="U11" i="8"/>
  <c r="B64" i="8" s="1"/>
  <c r="D64" i="8" s="1"/>
  <c r="F64" i="8" s="1"/>
  <c r="L64" i="8" s="1"/>
  <c r="V11" i="8"/>
  <c r="W11" i="8"/>
  <c r="X11" i="8"/>
  <c r="H56" i="8"/>
  <c r="AK24" i="8" l="1"/>
  <c r="BF24" i="8" s="1"/>
  <c r="H64" i="8"/>
  <c r="Y11" i="8"/>
  <c r="R12" i="8" a="1"/>
  <c r="R12" i="8" s="1"/>
  <c r="J46" i="8"/>
  <c r="D51" i="8"/>
  <c r="J51" i="8" s="1"/>
  <c r="B56" i="8"/>
  <c r="T13" i="8"/>
  <c r="V12" i="8"/>
  <c r="U12" i="8"/>
  <c r="B69" i="8" s="1"/>
  <c r="D69" i="8" s="1"/>
  <c r="F69" i="8" s="1"/>
  <c r="W12" i="8"/>
  <c r="X12" i="8"/>
  <c r="H61" i="8"/>
  <c r="B66" i="8"/>
  <c r="D66" i="8" s="1"/>
  <c r="AZ24" i="8" l="1"/>
  <c r="BC24" i="8"/>
  <c r="BG24" i="8"/>
  <c r="AP24" i="8"/>
  <c r="BA24" i="8"/>
  <c r="AX24" i="8"/>
  <c r="AY24" i="8"/>
  <c r="BB24" i="8"/>
  <c r="AU24" i="8"/>
  <c r="BH24" i="8"/>
  <c r="AK25" i="8"/>
  <c r="AK26" i="8" s="1"/>
  <c r="AQ24" i="8"/>
  <c r="AV24" i="8"/>
  <c r="AN24" i="8"/>
  <c r="BI24" i="8" s="1"/>
  <c r="BD24" i="8"/>
  <c r="AO24" i="8"/>
  <c r="AW24" i="8"/>
  <c r="AR24" i="8"/>
  <c r="BE24" i="8"/>
  <c r="AT24" i="8"/>
  <c r="AS24" i="8"/>
  <c r="H69" i="8"/>
  <c r="Y12" i="8"/>
  <c r="F51" i="8"/>
  <c r="D56" i="8"/>
  <c r="F56" i="8" s="1"/>
  <c r="B61" i="8"/>
  <c r="L69" i="8"/>
  <c r="T14" i="8"/>
  <c r="U13" i="8"/>
  <c r="B74" i="8" s="1"/>
  <c r="D74" i="8" s="1"/>
  <c r="F74" i="8" s="1"/>
  <c r="W13" i="8"/>
  <c r="V13" i="8"/>
  <c r="X13" i="8"/>
  <c r="F66" i="8"/>
  <c r="J66" i="8"/>
  <c r="B71" i="8"/>
  <c r="D71" i="8" s="1"/>
  <c r="H66" i="8"/>
  <c r="BJ24" i="8" l="1"/>
  <c r="BK24" i="8" s="1"/>
  <c r="BL24" i="8" s="1"/>
  <c r="BM24" i="8" s="1"/>
  <c r="AO25" i="8"/>
  <c r="BF25" i="8"/>
  <c r="BG25" i="8"/>
  <c r="BD25" i="8"/>
  <c r="BA25" i="8"/>
  <c r="AZ25" i="8"/>
  <c r="AV25" i="8"/>
  <c r="BH25" i="8"/>
  <c r="BE25" i="8"/>
  <c r="AQ25" i="8"/>
  <c r="BC25" i="8"/>
  <c r="AU25" i="8"/>
  <c r="AR25" i="8"/>
  <c r="AN25" i="8"/>
  <c r="BI25" i="8" s="1"/>
  <c r="AX25" i="8"/>
  <c r="AT25" i="8"/>
  <c r="AY25" i="8"/>
  <c r="AP25" i="8"/>
  <c r="AW25" i="8"/>
  <c r="AS25" i="8"/>
  <c r="BB25" i="8"/>
  <c r="H74" i="8"/>
  <c r="Y13" i="8"/>
  <c r="J56" i="8"/>
  <c r="D61" i="8"/>
  <c r="F61" i="8" s="1"/>
  <c r="L74" i="8"/>
  <c r="T15" i="8"/>
  <c r="U14" i="8"/>
  <c r="B79" i="8" s="1"/>
  <c r="D79" i="8" s="1"/>
  <c r="F79" i="8" s="1"/>
  <c r="L79" i="8" s="1"/>
  <c r="W14" i="8"/>
  <c r="V14" i="8"/>
  <c r="X14" i="8"/>
  <c r="Y14" i="8" s="1"/>
  <c r="F71" i="8"/>
  <c r="J71" i="8"/>
  <c r="B76" i="8"/>
  <c r="D76" i="8" s="1"/>
  <c r="H71" i="8"/>
  <c r="R11" i="8" l="1" a="1"/>
  <c r="R11" i="8" s="1"/>
  <c r="AM22" i="8" s="1"/>
  <c r="Q11" i="8" a="1"/>
  <c r="Q11" i="8" s="1"/>
  <c r="AL22" i="8" s="1"/>
  <c r="BJ25" i="8"/>
  <c r="BN24" i="8"/>
  <c r="BO24" i="8" s="1"/>
  <c r="BP24" i="8" s="1"/>
  <c r="BQ24" i="8" s="1"/>
  <c r="J61" i="8"/>
  <c r="AM23" i="8"/>
  <c r="AL23" i="8"/>
  <c r="T16" i="8"/>
  <c r="W15" i="8"/>
  <c r="V15" i="8"/>
  <c r="U15" i="8"/>
  <c r="X15" i="8"/>
  <c r="Y15" i="8" s="1"/>
  <c r="F76" i="8"/>
  <c r="J76" i="8"/>
  <c r="B81" i="8"/>
  <c r="D81" i="8" s="1"/>
  <c r="H76" i="8"/>
  <c r="BK25" i="8" l="1"/>
  <c r="BL25" i="8" s="1"/>
  <c r="BR24" i="8"/>
  <c r="BS24" i="8" s="1"/>
  <c r="BT24" i="8" s="1"/>
  <c r="BU24" i="8" s="1"/>
  <c r="BV24" i="8" s="1"/>
  <c r="BW24" i="8" s="1"/>
  <c r="BX24" i="8" s="1"/>
  <c r="BY24" i="8" s="1"/>
  <c r="BZ24" i="8" s="1"/>
  <c r="CA24" i="8" s="1"/>
  <c r="CB24" i="8" s="1"/>
  <c r="CC24" i="8" s="1"/>
  <c r="CD24" i="8" s="1"/>
  <c r="CE24" i="8" s="1"/>
  <c r="CF24" i="8" s="1"/>
  <c r="BF23" i="8"/>
  <c r="BA22" i="8"/>
  <c r="BD22" i="8"/>
  <c r="AW22" i="8"/>
  <c r="AQ22" i="8"/>
  <c r="BE22" i="8"/>
  <c r="BF22" i="8"/>
  <c r="AN22" i="8"/>
  <c r="BG22" i="8"/>
  <c r="AU22" i="8"/>
  <c r="AP22" i="8"/>
  <c r="AY22" i="8"/>
  <c r="AX22" i="8"/>
  <c r="AO22" i="8"/>
  <c r="AZ22" i="8"/>
  <c r="BH22" i="8"/>
  <c r="AS22" i="8"/>
  <c r="AR22" i="8"/>
  <c r="AV22" i="8"/>
  <c r="AT22" i="8"/>
  <c r="BC22" i="8"/>
  <c r="BB22" i="8"/>
  <c r="AX23" i="8"/>
  <c r="AT23" i="8"/>
  <c r="BD23" i="8"/>
  <c r="BB23" i="8"/>
  <c r="AQ23" i="8"/>
  <c r="AS23" i="8"/>
  <c r="AW23" i="8"/>
  <c r="AR23" i="8"/>
  <c r="AP23" i="8"/>
  <c r="AY23" i="8"/>
  <c r="BA23" i="8"/>
  <c r="AO23" i="8"/>
  <c r="AV23" i="8"/>
  <c r="AN23" i="8"/>
  <c r="BC23" i="8"/>
  <c r="AU23" i="8"/>
  <c r="BH23" i="8"/>
  <c r="AZ23" i="8"/>
  <c r="BG23" i="8"/>
  <c r="BE23" i="8"/>
  <c r="T17" i="8"/>
  <c r="U16" i="8"/>
  <c r="W16" i="8"/>
  <c r="V16" i="8"/>
  <c r="X16" i="8"/>
  <c r="Y16" i="8" s="1"/>
  <c r="F81" i="8"/>
  <c r="J81" i="8"/>
  <c r="H81" i="8"/>
  <c r="BM25" i="8" l="1"/>
  <c r="BN25" i="8" s="1"/>
  <c r="BO25" i="8" s="1"/>
  <c r="BP25" i="8" s="1"/>
  <c r="BI22" i="8"/>
  <c r="BI23" i="8"/>
  <c r="T18" i="8"/>
  <c r="W17" i="8"/>
  <c r="U17" i="8"/>
  <c r="V17" i="8"/>
  <c r="X17" i="8"/>
  <c r="Y17" i="8" s="1"/>
  <c r="BQ25" i="8" l="1"/>
  <c r="BR25" i="8" s="1"/>
  <c r="BS25" i="8" s="1"/>
  <c r="BT25" i="8" s="1"/>
  <c r="BU25" i="8" s="1"/>
  <c r="BV25" i="8" s="1"/>
  <c r="BW25" i="8" s="1"/>
  <c r="BX25" i="8" s="1"/>
  <c r="BY25" i="8" s="1"/>
  <c r="BZ25" i="8" s="1"/>
  <c r="CA25" i="8" s="1"/>
  <c r="CB25" i="8" s="1"/>
  <c r="CC25" i="8" s="1"/>
  <c r="BJ22" i="8"/>
  <c r="BK22" i="8" s="1"/>
  <c r="BJ23" i="8"/>
  <c r="T19" i="8"/>
  <c r="W18" i="8"/>
  <c r="V18" i="8"/>
  <c r="U18" i="8"/>
  <c r="X18" i="8"/>
  <c r="Y18" i="8" s="1"/>
  <c r="CD25" i="8" l="1"/>
  <c r="CE25" i="8" s="1"/>
  <c r="CF25" i="8" s="1"/>
  <c r="BK23" i="8"/>
  <c r="BL22" i="8"/>
  <c r="T20" i="8"/>
  <c r="U19" i="8"/>
  <c r="W19" i="8"/>
  <c r="V19" i="8"/>
  <c r="X19" i="8"/>
  <c r="Y19" i="8" s="1"/>
  <c r="BL23" i="8" l="1"/>
  <c r="BM23" i="8" s="1"/>
  <c r="BM22" i="8"/>
  <c r="T21" i="8"/>
  <c r="W20" i="8"/>
  <c r="U20" i="8"/>
  <c r="V20" i="8"/>
  <c r="X20" i="8"/>
  <c r="Y20" i="8" s="1"/>
  <c r="BN22" i="8" l="1"/>
  <c r="BO22" i="8" s="1"/>
  <c r="BN23" i="8"/>
  <c r="BO23" i="8" s="1"/>
  <c r="BP23" i="8" s="1"/>
  <c r="BQ23" i="8" s="1"/>
  <c r="BR23" i="8" s="1"/>
  <c r="BS23" i="8" s="1"/>
  <c r="BT23" i="8" s="1"/>
  <c r="BU23" i="8" s="1"/>
  <c r="BV23" i="8" s="1"/>
  <c r="BW23" i="8" s="1"/>
  <c r="BX23" i="8" s="1"/>
  <c r="T22" i="8"/>
  <c r="U21" i="8"/>
  <c r="V21" i="8"/>
  <c r="W21" i="8"/>
  <c r="X21" i="8"/>
  <c r="Y21" i="8" s="1"/>
  <c r="BP22" i="8" l="1"/>
  <c r="BQ22" i="8" s="1"/>
  <c r="BY23" i="8"/>
  <c r="BZ23" i="8" s="1"/>
  <c r="CA23" i="8" s="1"/>
  <c r="CB23" i="8" s="1"/>
  <c r="CC23" i="8" s="1"/>
  <c r="CD23" i="8" s="1"/>
  <c r="T23" i="8"/>
  <c r="V22" i="8"/>
  <c r="U22" i="8"/>
  <c r="W22" i="8"/>
  <c r="X22" i="8"/>
  <c r="Y22" i="8" s="1"/>
  <c r="BR22" i="8" l="1"/>
  <c r="BS22" i="8" s="1"/>
  <c r="BT22" i="8" s="1"/>
  <c r="BU22" i="8" s="1"/>
  <c r="BV22" i="8" s="1"/>
  <c r="BW22" i="8" s="1"/>
  <c r="BX22" i="8" s="1"/>
  <c r="BY22" i="8" s="1"/>
  <c r="BZ22" i="8" s="1"/>
  <c r="CA22" i="8" s="1"/>
  <c r="CB22" i="8" s="1"/>
  <c r="CC22" i="8" s="1"/>
  <c r="CD22" i="8" s="1"/>
  <c r="CE23" i="8"/>
  <c r="CF23" i="8" s="1"/>
  <c r="V23" i="8"/>
  <c r="U23" i="8"/>
  <c r="T24" i="8"/>
  <c r="W23" i="8"/>
  <c r="X23" i="8"/>
  <c r="Y23" i="8" s="1"/>
  <c r="CE22" i="8" l="1"/>
  <c r="CF22" i="8" s="1"/>
  <c r="AB17" i="8" s="1"/>
  <c r="AA17" i="8" s="1"/>
  <c r="T25" i="8"/>
  <c r="U24" i="8"/>
  <c r="X24" i="8"/>
  <c r="Y24" i="8" s="1"/>
  <c r="W24" i="8"/>
  <c r="V24" i="8"/>
  <c r="AB8" i="8" l="1"/>
  <c r="AB5" i="8"/>
  <c r="AB10" i="8"/>
  <c r="AB14" i="8"/>
  <c r="AA14" i="8" s="1"/>
  <c r="AB6" i="8"/>
  <c r="AB21" i="8"/>
  <c r="AA21" i="8" s="1"/>
  <c r="AB25" i="8"/>
  <c r="AA25" i="8" s="1"/>
  <c r="AB4" i="8"/>
  <c r="AB18" i="8"/>
  <c r="AA18" i="8" s="1"/>
  <c r="AB3" i="8"/>
  <c r="AB22" i="8"/>
  <c r="AA22" i="8" s="1"/>
  <c r="AB23" i="8"/>
  <c r="AA23" i="8" s="1"/>
  <c r="AB16" i="8"/>
  <c r="AA16" i="8" s="1"/>
  <c r="AB13" i="8"/>
  <c r="AA13" i="8" s="1"/>
  <c r="AB15" i="8"/>
  <c r="AA15" i="8" s="1"/>
  <c r="AB12" i="8"/>
  <c r="AA12" i="8" s="1"/>
  <c r="AB9" i="8"/>
  <c r="AB11" i="8"/>
  <c r="AA11" i="8" s="1"/>
  <c r="AB7" i="8"/>
  <c r="AB20" i="8"/>
  <c r="AA20" i="8" s="1"/>
  <c r="AB24" i="8"/>
  <c r="AA24" i="8" s="1"/>
  <c r="AB19" i="8"/>
  <c r="AA19" i="8" s="1"/>
  <c r="T26" i="8"/>
  <c r="AB26" i="8" s="1"/>
  <c r="AA26" i="8" s="1"/>
  <c r="V25" i="8"/>
  <c r="W25" i="8"/>
  <c r="X25" i="8"/>
  <c r="Y25" i="8" s="1"/>
  <c r="U25" i="8"/>
  <c r="AA9" i="8" l="1"/>
  <c r="AA4" i="8"/>
  <c r="AA10" i="8"/>
  <c r="AA7" i="8"/>
  <c r="AA6" i="8"/>
  <c r="AA3" i="8"/>
  <c r="AA8" i="8"/>
  <c r="AA5" i="8"/>
  <c r="T27" i="8"/>
  <c r="AB27" i="8" s="1"/>
  <c r="AA27" i="8" s="1"/>
  <c r="W26" i="8"/>
  <c r="U26" i="8"/>
  <c r="X26" i="8"/>
  <c r="Y26" i="8" s="1"/>
  <c r="V26" i="8"/>
  <c r="T28" i="8" l="1"/>
  <c r="AB28" i="8" s="1"/>
  <c r="AA28" i="8" s="1"/>
  <c r="W27" i="8"/>
  <c r="X27" i="8"/>
  <c r="Y27" i="8" s="1"/>
  <c r="U27" i="8"/>
  <c r="V27" i="8"/>
  <c r="T29" i="8" l="1"/>
  <c r="AB29" i="8" s="1"/>
  <c r="AA29" i="8" s="1"/>
  <c r="X28" i="8"/>
  <c r="Y28" i="8" s="1"/>
  <c r="V28" i="8"/>
  <c r="U28" i="8"/>
  <c r="W28" i="8"/>
  <c r="U29" i="8" l="1"/>
  <c r="T30" i="8"/>
  <c r="AB30" i="8" s="1"/>
  <c r="AA30" i="8" s="1"/>
  <c r="W29" i="8"/>
  <c r="X29" i="8"/>
  <c r="Y29" i="8" s="1"/>
  <c r="V29" i="8"/>
  <c r="X30" i="8" l="1"/>
  <c r="Y30" i="8" s="1"/>
  <c r="W30" i="8"/>
  <c r="T31" i="8"/>
  <c r="AB31" i="8" s="1"/>
  <c r="AA31" i="8" s="1"/>
  <c r="U30" i="8"/>
  <c r="V30" i="8"/>
  <c r="U31" i="8" l="1"/>
  <c r="V31" i="8"/>
  <c r="T32" i="8"/>
  <c r="AB32" i="8" s="1"/>
  <c r="X31" i="8"/>
  <c r="Y31" i="8" s="1"/>
  <c r="W31" i="8"/>
  <c r="AA32" i="8" l="1"/>
  <c r="V32" i="8"/>
  <c r="W32" i="8"/>
  <c r="X32" i="8"/>
  <c r="Y32" i="8" s="1"/>
  <c r="T33" i="8"/>
  <c r="AB33" i="8" s="1"/>
  <c r="AA33" i="8" s="1"/>
  <c r="U32" i="8"/>
  <c r="V33" i="8" l="1"/>
  <c r="U33" i="8"/>
  <c r="T34" i="8"/>
  <c r="AB34" i="8" s="1"/>
  <c r="W33" i="8"/>
  <c r="X33" i="8"/>
  <c r="Y33" i="8" s="1"/>
  <c r="AA34" i="8" l="1"/>
  <c r="U1" i="8"/>
  <c r="AL29" i="8" s="1"/>
  <c r="V34" i="8"/>
  <c r="U34" i="8"/>
  <c r="X34" i="8"/>
  <c r="Y34" i="8" s="1"/>
  <c r="W34" i="8"/>
  <c r="AL28" i="8" l="1"/>
  <c r="AL30" i="8"/>
  <c r="AM29" i="8"/>
  <c r="AL31" i="8"/>
  <c r="AM31" i="8"/>
  <c r="AK29" i="8"/>
  <c r="AX29" i="8" s="1"/>
  <c r="AM30" i="8"/>
  <c r="AK31" i="8"/>
  <c r="AT31" i="8" s="1"/>
  <c r="AK30" i="8"/>
  <c r="BA30" i="8" s="1"/>
  <c r="AK28" i="8"/>
  <c r="BD28" i="8" s="1"/>
  <c r="CG29" i="8"/>
  <c r="CG28" i="8"/>
  <c r="CG31" i="8"/>
  <c r="CG30" i="8"/>
  <c r="AM28" i="8"/>
  <c r="BD29" i="8"/>
  <c r="AY29" i="8"/>
  <c r="BA29" i="8"/>
  <c r="BB29" i="8"/>
  <c r="BE30" i="8"/>
  <c r="AW29" i="8"/>
  <c r="AR29" i="8"/>
  <c r="AP29" i="8"/>
  <c r="BF29" i="8"/>
  <c r="AT29" i="8"/>
  <c r="BG29" i="8"/>
  <c r="AQ29" i="8"/>
  <c r="AW31" i="8"/>
  <c r="BC31" i="8"/>
  <c r="BH30" i="8" l="1"/>
  <c r="AR30" i="8"/>
  <c r="AR31" i="8"/>
  <c r="BH31" i="8"/>
  <c r="BH29" i="8"/>
  <c r="AN29" i="8"/>
  <c r="BF30" i="8"/>
  <c r="BD30" i="8"/>
  <c r="AZ29" i="8"/>
  <c r="AO31" i="8"/>
  <c r="AY30" i="8"/>
  <c r="AN31" i="8"/>
  <c r="BI31" i="8" s="1"/>
  <c r="BG30" i="8"/>
  <c r="AS29" i="8"/>
  <c r="AU30" i="8"/>
  <c r="BE29" i="8"/>
  <c r="AS30" i="8"/>
  <c r="BE28" i="8"/>
  <c r="BC28" i="8"/>
  <c r="AV31" i="8"/>
  <c r="AN30" i="8"/>
  <c r="BI30" i="8" s="1"/>
  <c r="BB30" i="8"/>
  <c r="BC30" i="8"/>
  <c r="BB31" i="8"/>
  <c r="AO28" i="8"/>
  <c r="AU29" i="8"/>
  <c r="BH28" i="8"/>
  <c r="AV29" i="8"/>
  <c r="AO29" i="8"/>
  <c r="AV28" i="8"/>
  <c r="AY28" i="8"/>
  <c r="AR28" i="8"/>
  <c r="BA31" i="8"/>
  <c r="BF28" i="8"/>
  <c r="BA28" i="8"/>
  <c r="BG28" i="8"/>
  <c r="AX30" i="8"/>
  <c r="AS31" i="8"/>
  <c r="BF31" i="8"/>
  <c r="BB28" i="8"/>
  <c r="AZ31" i="8"/>
  <c r="AV30" i="8"/>
  <c r="AW30" i="8"/>
  <c r="AU28" i="8"/>
  <c r="AX28" i="8"/>
  <c r="AW28" i="8"/>
  <c r="BG31" i="8"/>
  <c r="AZ28" i="8"/>
  <c r="BC29" i="8"/>
  <c r="BE31" i="8"/>
  <c r="BD31" i="8"/>
  <c r="AU31" i="8"/>
  <c r="AX31" i="8"/>
  <c r="AQ28" i="8"/>
  <c r="AN28" i="8"/>
  <c r="AQ30" i="8"/>
  <c r="AP30" i="8"/>
  <c r="AY31" i="8"/>
  <c r="AT28" i="8"/>
  <c r="AP31" i="8"/>
  <c r="AO30" i="8"/>
  <c r="AP28" i="8"/>
  <c r="AS28" i="8"/>
  <c r="AT30" i="8"/>
  <c r="AZ30" i="8"/>
  <c r="AQ31" i="8"/>
  <c r="BI29" i="8"/>
  <c r="BI28" i="8"/>
  <c r="BJ29" i="8" l="1"/>
  <c r="BK29" i="8" s="1"/>
  <c r="BL29" i="8" s="1"/>
  <c r="BJ30" i="8"/>
  <c r="BK30" i="8" s="1"/>
  <c r="BL30" i="8" s="1"/>
  <c r="BJ31" i="8"/>
  <c r="BK31" i="8" s="1"/>
  <c r="BJ28" i="8"/>
  <c r="BM30" i="8" l="1"/>
  <c r="BN30" i="8" s="1"/>
  <c r="BM29" i="8"/>
  <c r="BL31" i="8"/>
  <c r="BK28" i="8"/>
  <c r="BO30" i="8" l="1"/>
  <c r="BM31" i="8"/>
  <c r="BN31" i="8" s="1"/>
  <c r="BO31" i="8" s="1"/>
  <c r="BL28" i="8"/>
  <c r="BM28" i="8" s="1"/>
  <c r="BN28" i="8" s="1"/>
  <c r="BO28" i="8" s="1"/>
  <c r="BP28" i="8" s="1"/>
  <c r="BQ28" i="8" s="1"/>
  <c r="BR28" i="8" s="1"/>
  <c r="BS28" i="8" s="1"/>
  <c r="BT28" i="8" s="1"/>
  <c r="BU28" i="8" s="1"/>
  <c r="BV28" i="8" s="1"/>
  <c r="BW28" i="8" s="1"/>
  <c r="BX28" i="8" s="1"/>
  <c r="BY28" i="8" s="1"/>
  <c r="BZ28" i="8" s="1"/>
  <c r="CA28" i="8" s="1"/>
  <c r="CB28" i="8" s="1"/>
  <c r="BN29" i="8"/>
  <c r="BP30" i="8" l="1"/>
  <c r="BQ30" i="8" s="1"/>
  <c r="BR30" i="8" s="1"/>
  <c r="BS30" i="8" s="1"/>
  <c r="BT30" i="8" s="1"/>
  <c r="BU30" i="8" s="1"/>
  <c r="BV30" i="8" s="1"/>
  <c r="BW30" i="8" s="1"/>
  <c r="BX30" i="8" s="1"/>
  <c r="BY30" i="8" s="1"/>
  <c r="BZ30" i="8" s="1"/>
  <c r="CA30" i="8" s="1"/>
  <c r="CB30" i="8" s="1"/>
  <c r="CC30" i="8" s="1"/>
  <c r="CC28" i="8"/>
  <c r="BO29" i="8"/>
  <c r="BP31" i="8"/>
  <c r="BQ31" i="8" s="1"/>
  <c r="BR31" i="8" s="1"/>
  <c r="BS31" i="8" s="1"/>
  <c r="BT31" i="8" s="1"/>
  <c r="BU31" i="8" s="1"/>
  <c r="BV31" i="8" s="1"/>
  <c r="BW31" i="8" s="1"/>
  <c r="BX31" i="8" s="1"/>
  <c r="BY31" i="8" s="1"/>
  <c r="BZ31" i="8" s="1"/>
  <c r="CA31" i="8" s="1"/>
  <c r="CB31" i="8" s="1"/>
  <c r="CC31" i="8" s="1"/>
  <c r="CD31" i="8" s="1"/>
  <c r="CE31" i="8" s="1"/>
  <c r="CF31" i="8" s="1"/>
  <c r="CD28" i="8" l="1"/>
  <c r="CE28" i="8" s="1"/>
  <c r="CF28" i="8" s="1"/>
  <c r="CD30" i="8"/>
  <c r="CE30" i="8" s="1"/>
  <c r="CF30" i="8" s="1"/>
  <c r="BP29" i="8"/>
  <c r="BQ29" i="8" s="1"/>
  <c r="BR29" i="8" s="1"/>
  <c r="BS29" i="8" s="1"/>
  <c r="BT29" i="8" s="1"/>
  <c r="BU29" i="8" s="1"/>
  <c r="BV29" i="8" s="1"/>
  <c r="BW29" i="8" s="1"/>
  <c r="BX29" i="8" s="1"/>
  <c r="BY29" i="8" s="1"/>
  <c r="BZ29" i="8" s="1"/>
  <c r="CA29" i="8" s="1"/>
  <c r="CB29" i="8" s="1"/>
  <c r="CC29" i="8" s="1"/>
  <c r="CD29" i="8" l="1"/>
  <c r="CE29" i="8" s="1"/>
  <c r="CF29" i="8" s="1"/>
  <c r="AD16" i="8" s="1"/>
  <c r="AC16" i="8" s="1"/>
  <c r="AD26" i="8" l="1"/>
  <c r="AC26" i="8" s="1"/>
  <c r="AD23" i="8"/>
  <c r="AC23" i="8" s="1"/>
  <c r="AD15" i="8"/>
  <c r="AC15" i="8" s="1"/>
  <c r="AD18" i="8"/>
  <c r="AC18" i="8" s="1"/>
  <c r="AD3" i="8"/>
  <c r="AD8" i="8"/>
  <c r="AD22" i="8"/>
  <c r="AC22" i="8" s="1"/>
  <c r="AD24" i="8"/>
  <c r="AC24" i="8" s="1"/>
  <c r="AD21" i="8"/>
  <c r="AC21" i="8" s="1"/>
  <c r="AD12" i="8"/>
  <c r="AC12" i="8" s="1"/>
  <c r="AG69" i="8" s="1"/>
  <c r="AD4" i="8"/>
  <c r="AD32" i="8"/>
  <c r="AC32" i="8" s="1"/>
  <c r="AD28" i="8"/>
  <c r="AC28" i="8" s="1"/>
  <c r="AD10" i="8"/>
  <c r="AD25" i="8"/>
  <c r="AC25" i="8" s="1"/>
  <c r="AD29" i="8"/>
  <c r="AC29" i="8" s="1"/>
  <c r="AD6" i="8"/>
  <c r="AD9" i="8"/>
  <c r="AD27" i="8"/>
  <c r="AC27" i="8" s="1"/>
  <c r="AD34" i="8"/>
  <c r="AC34" i="8" s="1"/>
  <c r="AD20" i="8"/>
  <c r="AC20" i="8" s="1"/>
  <c r="AD14" i="8"/>
  <c r="AC14" i="8" s="1"/>
  <c r="AG79" i="8" s="1"/>
  <c r="AD31" i="8"/>
  <c r="AC31" i="8" s="1"/>
  <c r="AD33" i="8"/>
  <c r="AC33" i="8" s="1"/>
  <c r="AD5" i="8"/>
  <c r="AD7" i="8"/>
  <c r="AD11" i="8"/>
  <c r="AD13" i="8"/>
  <c r="AC13" i="8" s="1"/>
  <c r="AG74" i="8" s="1"/>
  <c r="AD30" i="8"/>
  <c r="AC30" i="8" s="1"/>
  <c r="AD19" i="8"/>
  <c r="AC19" i="8" s="1"/>
  <c r="AD17" i="8"/>
  <c r="AC17" i="8" s="1"/>
  <c r="L13" i="8" l="1"/>
  <c r="L15" i="8"/>
  <c r="L17" i="8"/>
  <c r="L11" i="8"/>
  <c r="AC3" i="8"/>
  <c r="AG24" i="8" s="1"/>
  <c r="AC5" i="8"/>
  <c r="AG34" i="8" s="1"/>
  <c r="AC6" i="8"/>
  <c r="AG39" i="8" s="1"/>
  <c r="AC4" i="8"/>
  <c r="AG29" i="8" s="1"/>
  <c r="AC11" i="8"/>
  <c r="AG64" i="8" s="1"/>
  <c r="AC7" i="8"/>
  <c r="AG44" i="8" s="1"/>
  <c r="AC8" i="8"/>
  <c r="AG49" i="8" s="1"/>
  <c r="AC9" i="8"/>
  <c r="AG54" i="8" s="1"/>
  <c r="AC10" i="8"/>
  <c r="AG59" i="8" s="1"/>
  <c r="L18" i="8"/>
  <c r="L20" i="8" l="1"/>
  <c r="N79" i="8"/>
  <c r="N54" i="8"/>
  <c r="N69" i="8"/>
  <c r="N29" i="8"/>
  <c r="N59" i="8"/>
  <c r="N39" i="8"/>
  <c r="N44" i="8"/>
  <c r="N24" i="8"/>
  <c r="N64" i="8"/>
  <c r="N49" i="8"/>
  <c r="N74" i="8"/>
  <c r="N3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Scott A Schram</author>
    <author>iPAVE</author>
    <author>Administrator</author>
  </authors>
  <commentList>
    <comment ref="A1" authorId="0" shapeId="0" xr:uid="{00000000-0006-0000-0100-000001000000}">
      <text>
        <r>
          <rPr>
            <b/>
            <sz val="8"/>
            <color indexed="81"/>
            <rFont val="Tahoma"/>
            <family val="2"/>
          </rPr>
          <t>Press F9 to update after selection</t>
        </r>
      </text>
    </comment>
    <comment ref="J6" authorId="1" shapeId="0" xr:uid="{00000000-0006-0000-0100-000002000000}">
      <text>
        <r>
          <rPr>
            <b/>
            <sz val="12"/>
            <color indexed="81"/>
            <rFont val="Tahoma"/>
            <family val="2"/>
          </rPr>
          <t>For normal paving enter lane width (i.e. 12 ft). For tandem paving, enter multi-lane width. Material placed within this width will be considered part of the PWL field voids lot for class I compaction</t>
        </r>
      </text>
    </comment>
    <comment ref="J7" authorId="1" shapeId="0" xr:uid="{00000000-0006-0000-0100-000003000000}">
      <text>
        <r>
          <rPr>
            <b/>
            <sz val="14"/>
            <color indexed="81"/>
            <rFont val="Tahoma"/>
            <family val="2"/>
          </rPr>
          <t xml:space="preserve">How wide is the paver unit set? 
If the width of a single pass is wider than the driving lane, the outside edge may be eligible for random coring. 
</t>
        </r>
        <r>
          <rPr>
            <b/>
            <sz val="14"/>
            <color indexed="12"/>
            <rFont val="Tahoma"/>
            <family val="2"/>
          </rPr>
          <t>For example, if the paver is extended to 14 feet to pave both a 12 foot driving lane and a 2 foot shoulder in one pass, then a core could randomly fall at the edge. In this case the spreadsheet will not move the core location in by 1 foot.</t>
        </r>
      </text>
    </comment>
    <comment ref="H10" authorId="2" shapeId="0" xr:uid="{00000000-0006-0000-0100-000004000000}">
      <text>
        <r>
          <rPr>
            <b/>
            <sz val="12"/>
            <color indexed="81"/>
            <rFont val="Tahoma"/>
            <family val="2"/>
          </rPr>
          <t xml:space="preserve">Select from 
</t>
        </r>
        <r>
          <rPr>
            <b/>
            <sz val="12"/>
            <color indexed="39"/>
            <rFont val="Tahoma"/>
            <family val="2"/>
          </rPr>
          <t>No Joint Created</t>
        </r>
        <r>
          <rPr>
            <b/>
            <sz val="12"/>
            <color indexed="81"/>
            <rFont val="Tahoma"/>
            <family val="2"/>
          </rPr>
          <t xml:space="preserve">
     No joint created today
</t>
        </r>
        <r>
          <rPr>
            <b/>
            <sz val="12"/>
            <color indexed="39"/>
            <rFont val="Tahoma"/>
            <family val="2"/>
          </rPr>
          <t>Full Joint</t>
        </r>
        <r>
          <rPr>
            <b/>
            <sz val="12"/>
            <color indexed="81"/>
            <rFont val="Tahoma"/>
            <family val="2"/>
          </rPr>
          <t xml:space="preserve">
     If the full length of the mat laid today has a joint then all 8 mat cores are eligible for random selection
</t>
        </r>
        <r>
          <rPr>
            <b/>
            <sz val="12"/>
            <color indexed="12"/>
            <rFont val="Tahoma"/>
            <family val="2"/>
          </rPr>
          <t>Partial Joint</t>
        </r>
        <r>
          <rPr>
            <b/>
            <sz val="12"/>
            <color indexed="81"/>
            <rFont val="Tahoma"/>
            <family val="2"/>
          </rPr>
          <t xml:space="preserve">
     If only part of the mat laid today result in a joint, then enter FROM and TO. Only mat cores falling within these ranges will be eligible for random selection</t>
        </r>
      </text>
    </comment>
  </commentList>
</comments>
</file>

<file path=xl/sharedStrings.xml><?xml version="1.0" encoding="utf-8"?>
<sst xmlns="http://schemas.openxmlformats.org/spreadsheetml/2006/main" count="637" uniqueCount="127">
  <si>
    <r>
      <t>Instructions for use of this program</t>
    </r>
    <r>
      <rPr>
        <sz val="10"/>
        <rFont val="Arial"/>
        <family val="2"/>
      </rPr>
      <t>: This Excel spreadsheet has been set up to select random core locations for a typical lot of Hot Mix Asphalt paving. The 7 CORES tab brings up the spreadsheet where the data for the lot of production can be entered. The yellow shaded cells are for the user to fill in. The project, course, dates and thickness are data needed for documentation. The width, stationing and number of cores desired are required for the program to properly calculate random locations. The width should be entered to the nearest tenth of a foot. If the mat being laid includes the shoulder, only the width of the driving lane should be entered so that no core locations will fall on the shoulder portion. The stationing must be entered as a decimal to the nearest foot. For example, if the beginning station is 123+45 and the ending station is 234+56 the entries should be 123.45 and 234.56. Stationing may be entered as up stationing or down stationing. The program can handle up to four sections of stationing. If, for example, there is an equation in the stationing for the pavement being laid, the back stationing and the ahead stationing should be entered separately as two sections so the program can calculate the correct length. This applies to any break in the</t>
    </r>
  </si>
  <si>
    <t>stationing. Only enter stationing for sections from which a core will be cut. The number of cores desired must total seven for the 7 CORES tab. Pressing "Enter" or moving to another cell is required for the program to accept data. Once the width, stations and number of cores have been entered pressing F9 will cause the spreadsheet to calculate. A station and an offset from the center line edge will be provided for each core. In addition, the number of cores based on the pecentage represented by each section of stationing entered will appear next to the desired number of cores. If the user wants to change the distribution of the number of cores for two or more sections, the desired number of cores can be changed and pressing F9 again will recalculate new locations. Be sure to press "Enter" to change the data before pressing F9. If the spreadsheet recalculates every time an entry is made, exit Excel then reload Excel and the spreadsheet and then calculations should only be performed when F9 is pressed. Below the core locations, an area has been provided that can be used to record mat temperatures and tonnage of mix. The completed form can be printed out for use and the file can also be saved for documentation if desired. Use "Save As"  from the "File" menu</t>
  </si>
  <si>
    <t>COURSE LAID</t>
  </si>
  <si>
    <t>MAT THICKNESS</t>
  </si>
  <si>
    <t>DATE LAID</t>
  </si>
  <si>
    <t>DATE CUT</t>
  </si>
  <si>
    <t>STATION</t>
  </si>
  <si>
    <t>=</t>
  </si>
  <si>
    <t>L.F.</t>
  </si>
  <si>
    <t>TOTAL</t>
  </si>
  <si>
    <t>X</t>
  </si>
  <si>
    <t>7:00am</t>
  </si>
  <si>
    <t>1:00pm</t>
  </si>
  <si>
    <t>9:00am</t>
  </si>
  <si>
    <t>3:00pm</t>
  </si>
  <si>
    <t>11:00am</t>
  </si>
  <si>
    <t>5:00pm</t>
  </si>
  <si>
    <t xml:space="preserve"> </t>
  </si>
  <si>
    <t>MAT (LANE) WIDTH</t>
  </si>
  <si>
    <t>FT.</t>
  </si>
  <si>
    <t>IN.</t>
  </si>
  <si>
    <t>- TONS WASTED</t>
  </si>
  <si>
    <t>= TONS USED</t>
  </si>
  <si>
    <t>PROJECT</t>
  </si>
  <si>
    <t>TO     STATION</t>
  </si>
  <si>
    <t>+  STA.</t>
  </si>
  <si>
    <t>MAT TEMPERATURES</t>
  </si>
  <si>
    <t>L.F.  (DAY'S LOT)</t>
  </si>
  <si>
    <t>L.F.  (PER SUBLOT)</t>
  </si>
  <si>
    <t>HMA (MIX) REPORT</t>
  </si>
  <si>
    <t>TOTAL TONS</t>
  </si>
  <si>
    <t>+ PREVIOUS TONS</t>
  </si>
  <si>
    <t>= TONS USED TO-DATE</t>
  </si>
  <si>
    <t>+   1.0   =</t>
  </si>
  <si>
    <t>RANDOM CORE SAMPLES</t>
  </si>
  <si>
    <t>CORE # 1:</t>
  </si>
  <si>
    <t>CORE # 2:</t>
  </si>
  <si>
    <t>CORE # 3:</t>
  </si>
  <si>
    <t>CORE # 4:</t>
  </si>
  <si>
    <t>CORE # 5:</t>
  </si>
  <si>
    <t>CORE # 6:</t>
  </si>
  <si>
    <t>CORE # 7:</t>
  </si>
  <si>
    <t xml:space="preserve">FT. </t>
  </si>
  <si>
    <t>(Offset)</t>
  </si>
  <si>
    <t>L.F.      DIVIDED BY 7 SAMPLES</t>
  </si>
  <si>
    <t xml:space="preserve">Enter </t>
  </si>
  <si>
    <t xml:space="preserve">Number of </t>
  </si>
  <si>
    <t>Cores</t>
  </si>
  <si>
    <t>Desired</t>
  </si>
  <si>
    <t>for Each</t>
  </si>
  <si>
    <t>Section</t>
  </si>
  <si>
    <t>Below</t>
  </si>
  <si>
    <t>↓</t>
  </si>
  <si>
    <t>Direction</t>
  </si>
  <si>
    <t>/Lane</t>
  </si>
  <si>
    <t>L.F.      DIVIDED BY 8 SAMPLES</t>
  </si>
  <si>
    <t>8 RANDOM CORE SAMPLES</t>
  </si>
  <si>
    <t>For Test Strips Only</t>
  </si>
  <si>
    <t>SITE # 7:</t>
  </si>
  <si>
    <t>SITE # 6:</t>
  </si>
  <si>
    <t>SITE # 8:</t>
  </si>
  <si>
    <t>SITE # 9:</t>
  </si>
  <si>
    <t>SITE # 10:</t>
  </si>
  <si>
    <t>CORE # 8:</t>
  </si>
  <si>
    <t>SITE # 5:</t>
  </si>
  <si>
    <t>SITE # 4:</t>
  </si>
  <si>
    <t>SITE # 3:</t>
  </si>
  <si>
    <t>SITE # 2:</t>
  </si>
  <si>
    <t>SITE # 1:</t>
  </si>
  <si>
    <t>L.F.      DIVIDED BY 10 SAMPLES</t>
  </si>
  <si>
    <t>CIPR THICKNESS</t>
  </si>
  <si>
    <t>DATE TESTED</t>
  </si>
  <si>
    <t>10 RANDOM TEST SITES</t>
  </si>
  <si>
    <t>For Cold-In-Place Recycling Only</t>
  </si>
  <si>
    <t>Test Sites</t>
  </si>
  <si>
    <t>CIPR (LANE) WIDTH</t>
  </si>
  <si>
    <t>123.45, for core #2 it would be 123.45 + (1587 ÷ 100) = 139.32, for core #3 it would be 139.32 + (1587 ÷ 100) = 155.19, and so on for each core. The final station for each core is then determined by adding blank three divided by 100 to blank four. So, using the staioning above, and a random number of 0.924, the station for the first core would be 1587 X 0.924 = 1466,  (1466 ÷ 100) + 123.45 = 138.11. The offset is determined by subtracting 2 from the width entered at the top of the page and entering the result in blank one. Blank two is another random number. The final offset is then determined by multiplying blank one by blank two and adding 1 to the result. For example, if the width entered is 12.0 FT. the first blank for the offset would be 12 - 2 = 10 multiplied by a random number in blank two, say 0.455, and 1 added to the result, that is, (10 X 0.455) + 1 = 5.6 FT. A different random number needs to be used for each core station and offset for a total of 14 random numbers. Random numbers can be selected from the table by rolling a die three times or any other valid method of generating a table selection such as the seconds on a watch. Some calculators also generate random numbers that can be used. The Test Strip tab and the CIPR tab work the same way.</t>
  </si>
  <si>
    <t>&lt;REQUIRED</t>
  </si>
  <si>
    <t>and rename the file before saving it. A blank copy of the form can also be printed and filled out by hand when needed. To do the calculations by hand, the same information is needed as detailed above. First, the lineal feet for each section of stationing is calculated by subtracting the initial station from the final station and multiplying by 100. Then, for each core in that section, the length of each sublot is determined by dividing the lineal feet  by the number of cores desired for that section and entered in the first blank for each core. The second blank for each core is the random number which can be read from a random number table like the one included in this file. The third blank is the result of multiplying the numbers in the first two blanks together. The fourth blank is the beginning station for each sublot and is determined by progressively adding the the sublot length (which appears in blank one) divided by 100 to the beginning station for each section entered at the top of the page. For example, if the first station is 123.45 and the final station is 234.56 and seven cores are desired from this section, the lineal feet for this section is (234.56 - 123.45) X 100 = 11,111 and the length of each sublot is 11,111 ÷ 7 = 1587. The beginning station for core #1 (blank four) is</t>
  </si>
  <si>
    <t>*Use for PWL lots and test strips under PWL</t>
  </si>
  <si>
    <t>Station</t>
  </si>
  <si>
    <t>Mile Post</t>
  </si>
  <si>
    <t>&lt;Select</t>
  </si>
  <si>
    <t>Length</t>
  </si>
  <si>
    <t>BRPN</t>
  </si>
  <si>
    <t>ERPN</t>
  </si>
  <si>
    <t>Version</t>
  </si>
  <si>
    <t>TRAVEL LANE(S) WIDTH</t>
  </si>
  <si>
    <t>Yes</t>
  </si>
  <si>
    <t>No</t>
  </si>
  <si>
    <t>WIDTH OF PAVER UNIT</t>
  </si>
  <si>
    <t>Direction/Lane</t>
  </si>
  <si>
    <t>MAT</t>
  </si>
  <si>
    <t>JOINT</t>
  </si>
  <si>
    <t>No Joint Created</t>
  </si>
  <si>
    <t># MAT Cores</t>
  </si>
  <si>
    <t>Sublot Size</t>
  </si>
  <si>
    <t xml:space="preserve">Total Mat Cores = </t>
  </si>
  <si>
    <t>Total Joint Cores =</t>
  </si>
  <si>
    <t>Total Length =</t>
  </si>
  <si>
    <t># JOINT Cores</t>
  </si>
  <si>
    <t>min</t>
  </si>
  <si>
    <t>max</t>
  </si>
  <si>
    <t>Avg Sublot Size =</t>
  </si>
  <si>
    <t>Core #</t>
  </si>
  <si>
    <t>From</t>
  </si>
  <si>
    <t>To</t>
  </si>
  <si>
    <t>Group</t>
  </si>
  <si>
    <t>Joint Priority</t>
  </si>
  <si>
    <t>Mat</t>
  </si>
  <si>
    <t>Picked</t>
  </si>
  <si>
    <t>Zone</t>
  </si>
  <si>
    <t>Weight</t>
  </si>
  <si>
    <t>#Cores</t>
  </si>
  <si>
    <t>Low</t>
  </si>
  <si>
    <t>High</t>
  </si>
  <si>
    <t># Joint Cores</t>
  </si>
  <si>
    <t>Min Mat Core</t>
  </si>
  <si>
    <t>Max Mat Core</t>
  </si>
  <si>
    <t>*If a joint is created today, the random locations will be marked for coring below.</t>
  </si>
  <si>
    <t>Longitudinal Joint Created? (None/Full/Partial)</t>
  </si>
  <si>
    <t>Dir</t>
  </si>
  <si>
    <t>&lt;Enter this value in the coreworksheet_2015.xlsx</t>
  </si>
  <si>
    <t>Surface</t>
  </si>
  <si>
    <t>Intermediate</t>
  </si>
  <si>
    <t>Base</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</si>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</sst>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
    <numFmt numFmtId="166" formatCode="m/d/yyyy;@"/>
    <numFmt numFmtId="167" formatCode="0.00_);\(0.00\)"/>
    <numFmt numFmtId="168" formatCode="#,##0.000"/>
    <numFmt numFmtId="169" formatCode="0.0_);\(0.0\)"/>
  </numFmts>
  <fonts count="28">
    <font>
      <sz val="12"/>
      <name val="Arial MT"/>
    </font>
    <font>
      <sz val="8"/>
      <name val="Arial MT"/>
    </font>
    <font>
      <sz val="14"/>
      <name val="Arial MT"/>
    </font>
    <font>
      <u/>
      <sz val="14"/>
      <name val="Arial MT"/>
    </font>
    <font>
      <sz val="12"/>
      <name val="Arial MT"/>
    </font>
    <font>
      <b/>
      <sz val="14"/>
      <name val="Arial MT"/>
    </font>
    <font>
      <b/>
      <sz val="16"/>
      <name val="Arial MT"/>
    </font>
    <font>
      <b/>
      <sz val="26"/>
      <name val="Arial"/>
      <family val="2"/>
    </font>
    <font>
      <b/>
      <sz val="26"/>
      <name val="Arial MT"/>
    </font>
    <font>
      <b/>
      <sz val="12"/>
      <name val="Arial MT"/>
    </font>
    <font>
      <b/>
      <sz val="20"/>
      <name val="Arial MT"/>
    </font>
    <font>
      <b/>
      <sz val="10"/>
      <name val="Arial"/>
      <family val="2"/>
    </font>
    <font>
      <sz val="10"/>
      <name val="Arial"/>
      <family val="2"/>
    </font>
    <font>
      <b/>
      <sz val="8"/>
      <color indexed="81"/>
      <name val="Tahoma"/>
      <family val="2"/>
    </font>
    <font>
      <sz val="14"/>
      <color rgb="FF0000FF"/>
      <name val="Arial MT"/>
    </font>
    <font>
      <b/>
      <sz val="12"/>
      <color indexed="81"/>
      <name val="Tahoma"/>
      <family val="2"/>
    </font>
    <font>
      <b/>
      <sz val="14"/>
      <color indexed="81"/>
      <name val="Tahoma"/>
      <family val="2"/>
    </font>
    <font>
      <b/>
      <sz val="14"/>
      <color indexed="12"/>
      <name val="Tahoma"/>
      <family val="2"/>
    </font>
    <font>
      <sz val="14"/>
      <color theme="1"/>
      <name val="Arial MT"/>
    </font>
    <font>
      <sz val="12"/>
      <color theme="1"/>
      <name val="Arial MT"/>
    </font>
    <font>
      <b/>
      <sz val="14"/>
      <color rgb="FFFF0000"/>
      <name val="Arial MT"/>
    </font>
    <font>
      <sz val="14"/>
      <color theme="0"/>
      <name val="Arial MT"/>
    </font>
    <font>
      <b/>
      <sz val="14"/>
      <color theme="1"/>
      <name val="Arial MT"/>
    </font>
    <font>
      <sz val="14"/>
      <color rgb="FFFF0000"/>
      <name val="Arial MT"/>
    </font>
    <font>
      <b/>
      <sz val="12"/>
      <color indexed="39"/>
      <name val="Tahoma"/>
      <family val="2"/>
    </font>
    <font>
      <b/>
      <sz val="12"/>
      <color indexed="12"/>
      <name val="Tahoma"/>
      <family val="2"/>
    </font>
    <font>
      <b/>
      <sz val="22"/>
      <name val="Arial MT"/>
    </font>
    <font>
      <b/>
      <sz val="24"/>
      <name val="Arial MT"/>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FF00"/>
        <bgColor indexed="64"/>
      </patternFill>
    </fill>
  </fills>
  <borders count="29">
    <border>
      <left/>
      <right/>
      <top/>
      <bottom/>
      <diagonal/>
    </border>
    <border>
      <left/>
      <right/>
      <top/>
      <bottom style="thin">
        <color indexed="8"/>
      </bottom>
      <diagonal/>
    </border>
    <border>
      <left/>
      <right/>
      <top style="thin">
        <color indexed="8"/>
      </top>
      <bottom/>
      <diagonal/>
    </border>
    <border>
      <left/>
      <right/>
      <top/>
      <bottom style="thin">
        <color indexed="58"/>
      </bottom>
      <diagonal/>
    </border>
    <border>
      <left/>
      <right/>
      <top/>
      <bottom style="double">
        <color indexed="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ouble">
        <color indexed="64"/>
      </bottom>
      <diagonal/>
    </border>
    <border>
      <left style="thick">
        <color indexed="8"/>
      </left>
      <right style="thick">
        <color indexed="8"/>
      </right>
      <top style="thick">
        <color indexed="8"/>
      </top>
      <bottom style="thick">
        <color indexed="8"/>
      </bottom>
      <diagonal/>
    </border>
    <border>
      <left/>
      <right/>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right style="thin">
        <color indexed="64"/>
      </right>
      <top style="thin">
        <color theme="1"/>
      </top>
      <bottom style="thin">
        <color theme="1"/>
      </bottom>
      <diagonal/>
    </border>
  </borders>
  <cellStyleXfs count="1">
    <xf numFmtId="0" fontId="0" fillId="0" borderId="0"/>
  </cellStyleXfs>
  <cellXfs count="151">
    <xf numFmtId="0" fontId="0" fillId="0" borderId="0" xfId="0"/>
    <xf numFmtId="0" fontId="0" fillId="0" borderId="0" xfId="0"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right"/>
    </xf>
    <xf numFmtId="0" fontId="2" fillId="0" borderId="1" xfId="0" applyFont="1" applyBorder="1" applyAlignment="1">
      <alignment horizontal="center"/>
    </xf>
    <xf numFmtId="49" fontId="2" fillId="0" borderId="0" xfId="0" applyNumberFormat="1" applyFont="1" applyAlignment="1">
      <alignment horizontal="center"/>
    </xf>
    <xf numFmtId="165" fontId="2" fillId="0" borderId="1" xfId="0" applyNumberFormat="1" applyFont="1" applyBorder="1" applyAlignment="1">
      <alignment horizontal="center"/>
    </xf>
    <xf numFmtId="14" fontId="2" fillId="0" borderId="0" xfId="0" applyNumberFormat="1" applyFont="1" applyAlignment="1">
      <alignment horizontal="center"/>
    </xf>
    <xf numFmtId="14" fontId="2" fillId="0" borderId="0" xfId="0" applyNumberFormat="1" applyFont="1"/>
    <xf numFmtId="1" fontId="2" fillId="0" borderId="1" xfId="0" applyNumberFormat="1" applyFont="1" applyBorder="1" applyAlignment="1">
      <alignment horizontal="center"/>
    </xf>
    <xf numFmtId="0" fontId="2" fillId="0" borderId="0" xfId="0" applyFont="1" applyAlignment="1">
      <alignment horizontal="left"/>
    </xf>
    <xf numFmtId="1" fontId="2" fillId="0" borderId="0" xfId="0" applyNumberFormat="1" applyFont="1" applyAlignment="1">
      <alignment horizontal="center"/>
    </xf>
    <xf numFmtId="164" fontId="2" fillId="0" borderId="1" xfId="0" applyNumberFormat="1" applyFont="1" applyBorder="1" applyAlignment="1">
      <alignment horizontal="center"/>
    </xf>
    <xf numFmtId="49" fontId="2" fillId="0" borderId="0" xfId="0" applyNumberFormat="1" applyFont="1" applyAlignment="1">
      <alignment horizontal="right"/>
    </xf>
    <xf numFmtId="1" fontId="2" fillId="0" borderId="2" xfId="0" applyNumberFormat="1" applyFont="1" applyBorder="1" applyAlignment="1">
      <alignment horizontal="center"/>
    </xf>
    <xf numFmtId="164" fontId="2" fillId="0" borderId="2" xfId="0" applyNumberFormat="1" applyFont="1" applyBorder="1" applyAlignment="1">
      <alignment horizontal="center"/>
    </xf>
    <xf numFmtId="164" fontId="2" fillId="0" borderId="0" xfId="0" applyNumberFormat="1" applyFont="1" applyAlignment="1">
      <alignment horizontal="center"/>
    </xf>
    <xf numFmtId="0" fontId="2" fillId="0" borderId="1" xfId="0" applyFont="1" applyBorder="1"/>
    <xf numFmtId="0" fontId="3" fillId="0" borderId="0" xfId="0" applyFont="1" applyAlignment="1">
      <alignment horizontal="center"/>
    </xf>
    <xf numFmtId="0" fontId="2" fillId="0" borderId="3" xfId="0" applyFont="1" applyBorder="1"/>
    <xf numFmtId="0" fontId="2" fillId="0" borderId="3" xfId="0" applyFont="1" applyBorder="1" applyAlignment="1">
      <alignment horizontal="center"/>
    </xf>
    <xf numFmtId="11" fontId="2" fillId="0" borderId="0" xfId="0" applyNumberFormat="1" applyFont="1"/>
    <xf numFmtId="0" fontId="4" fillId="0" borderId="0" xfId="0" applyFont="1"/>
    <xf numFmtId="0" fontId="4" fillId="0" borderId="0" xfId="0" applyFont="1" applyAlignment="1">
      <alignment horizontal="center"/>
    </xf>
    <xf numFmtId="0" fontId="5" fillId="0" borderId="0" xfId="0" applyFont="1" applyAlignment="1">
      <alignment horizontal="left"/>
    </xf>
    <xf numFmtId="49" fontId="2" fillId="0" borderId="0" xfId="0" applyNumberFormat="1" applyFont="1" applyAlignment="1">
      <alignment horizontal="left"/>
    </xf>
    <xf numFmtId="49" fontId="5" fillId="0" borderId="0" xfId="0" applyNumberFormat="1" applyFont="1"/>
    <xf numFmtId="2" fontId="5" fillId="0" borderId="4" xfId="0" applyNumberFormat="1" applyFont="1" applyBorder="1" applyAlignment="1">
      <alignment horizontal="center"/>
    </xf>
    <xf numFmtId="49" fontId="2" fillId="0" borderId="0" xfId="0" applyNumberFormat="1" applyFont="1"/>
    <xf numFmtId="165" fontId="5" fillId="0" borderId="4" xfId="0" applyNumberFormat="1" applyFont="1" applyBorder="1" applyAlignment="1">
      <alignment horizontal="center"/>
    </xf>
    <xf numFmtId="167" fontId="2" fillId="2" borderId="1" xfId="0" applyNumberFormat="1" applyFont="1" applyFill="1" applyBorder="1" applyAlignment="1" applyProtection="1">
      <alignment horizontal="center"/>
      <protection locked="0"/>
    </xf>
    <xf numFmtId="165" fontId="2" fillId="2" borderId="1" xfId="0" applyNumberFormat="1" applyFont="1" applyFill="1" applyBorder="1" applyAlignment="1" applyProtection="1">
      <alignment horizontal="center"/>
      <protection locked="0"/>
    </xf>
    <xf numFmtId="166" fontId="2" fillId="2" borderId="1" xfId="0" applyNumberFormat="1" applyFont="1" applyFill="1" applyBorder="1" applyAlignment="1" applyProtection="1">
      <alignment horizontal="center"/>
      <protection locked="0"/>
    </xf>
    <xf numFmtId="2" fontId="2" fillId="2" borderId="1" xfId="0" applyNumberFormat="1" applyFont="1" applyFill="1" applyBorder="1" applyAlignment="1" applyProtection="1">
      <alignment horizontal="center"/>
      <protection locked="0"/>
    </xf>
    <xf numFmtId="0" fontId="2" fillId="2" borderId="1" xfId="0" applyFont="1" applyFill="1" applyBorder="1" applyAlignment="1" applyProtection="1">
      <alignment horizontal="center"/>
      <protection locked="0"/>
    </xf>
    <xf numFmtId="0" fontId="5" fillId="0" borderId="0" xfId="0" applyFont="1"/>
    <xf numFmtId="2" fontId="2" fillId="0" borderId="1" xfId="0" applyNumberFormat="1" applyFont="1" applyBorder="1" applyAlignment="1">
      <alignment horizontal="center"/>
    </xf>
    <xf numFmtId="2" fontId="2" fillId="0" borderId="0" xfId="0" applyNumberFormat="1" applyFont="1" applyAlignment="1">
      <alignment horizontal="center"/>
    </xf>
    <xf numFmtId="1" fontId="2" fillId="2" borderId="1" xfId="0" applyNumberFormat="1" applyFont="1" applyFill="1" applyBorder="1" applyAlignment="1" applyProtection="1">
      <alignment horizontal="center"/>
      <protection locked="0"/>
    </xf>
    <xf numFmtId="0" fontId="2" fillId="0" borderId="0" xfId="0" quotePrefix="1" applyFont="1" applyAlignment="1">
      <alignment horizontal="right"/>
    </xf>
    <xf numFmtId="164" fontId="0" fillId="0" borderId="5" xfId="0" applyNumberFormat="1" applyBorder="1" applyAlignment="1">
      <alignment horizontal="center"/>
    </xf>
    <xf numFmtId="164" fontId="0" fillId="0" borderId="6" xfId="0" applyNumberFormat="1" applyBorder="1" applyAlignment="1">
      <alignment horizontal="center"/>
    </xf>
    <xf numFmtId="164" fontId="0" fillId="0" borderId="7" xfId="0" applyNumberFormat="1" applyBorder="1" applyAlignment="1">
      <alignment horizontal="center"/>
    </xf>
    <xf numFmtId="0" fontId="0" fillId="0" borderId="8" xfId="0" applyBorder="1"/>
    <xf numFmtId="0" fontId="9" fillId="0" borderId="8" xfId="0" applyFont="1" applyBorder="1" applyAlignment="1">
      <alignment horizontal="center"/>
    </xf>
    <xf numFmtId="14" fontId="2" fillId="0" borderId="9" xfId="0" applyNumberFormat="1" applyFont="1" applyBorder="1" applyAlignment="1">
      <alignment horizontal="center"/>
    </xf>
    <xf numFmtId="0" fontId="2" fillId="0" borderId="10" xfId="0" applyFont="1" applyBorder="1" applyAlignment="1">
      <alignment horizontal="center"/>
    </xf>
    <xf numFmtId="165" fontId="2" fillId="0" borderId="0" xfId="0" applyNumberFormat="1" applyFont="1"/>
    <xf numFmtId="0" fontId="2" fillId="0" borderId="11" xfId="0" applyFont="1" applyBorder="1"/>
    <xf numFmtId="0" fontId="2" fillId="0" borderId="11" xfId="0" applyFont="1" applyBorder="1" applyAlignment="1">
      <alignment horizontal="center"/>
    </xf>
    <xf numFmtId="165" fontId="2" fillId="0" borderId="0" xfId="0" applyNumberFormat="1" applyFont="1" applyAlignment="1">
      <alignment horizontal="center"/>
    </xf>
    <xf numFmtId="165" fontId="5" fillId="0" borderId="0" xfId="0" applyNumberFormat="1" applyFont="1" applyAlignment="1">
      <alignment horizontal="center"/>
    </xf>
    <xf numFmtId="166" fontId="2" fillId="2" borderId="12" xfId="0" applyNumberFormat="1" applyFont="1" applyFill="1" applyBorder="1" applyAlignment="1" applyProtection="1">
      <alignment horizontal="center"/>
      <protection locked="0"/>
    </xf>
    <xf numFmtId="2" fontId="2" fillId="0" borderId="0" xfId="0" applyNumberFormat="1" applyFont="1"/>
    <xf numFmtId="1" fontId="2" fillId="0" borderId="0" xfId="0" applyNumberFormat="1" applyFont="1"/>
    <xf numFmtId="2" fontId="2" fillId="0" borderId="3" xfId="0" applyNumberFormat="1" applyFont="1" applyBorder="1"/>
    <xf numFmtId="2" fontId="0" fillId="0" borderId="0" xfId="0" applyNumberFormat="1"/>
    <xf numFmtId="0" fontId="6" fillId="0" borderId="0" xfId="0" applyFont="1"/>
    <xf numFmtId="0" fontId="2" fillId="0" borderId="0" xfId="0" applyFont="1" applyAlignment="1">
      <alignment vertical="top"/>
    </xf>
    <xf numFmtId="169" fontId="2" fillId="2" borderId="1" xfId="0" applyNumberFormat="1" applyFont="1" applyFill="1" applyBorder="1" applyAlignment="1" applyProtection="1">
      <alignment horizontal="center"/>
      <protection locked="0"/>
    </xf>
    <xf numFmtId="0" fontId="18" fillId="0" borderId="0" xfId="0" applyFont="1"/>
    <xf numFmtId="0" fontId="18" fillId="0" borderId="0" xfId="0" applyFont="1" applyAlignment="1">
      <alignment horizontal="center"/>
    </xf>
    <xf numFmtId="0" fontId="19" fillId="0" borderId="0" xfId="0" applyFont="1"/>
    <xf numFmtId="0" fontId="2" fillId="0" borderId="13" xfId="0" applyFont="1" applyBorder="1"/>
    <xf numFmtId="0" fontId="18" fillId="0" borderId="0" xfId="0" applyFont="1" applyAlignment="1">
      <alignment vertical="center" wrapText="1"/>
    </xf>
    <xf numFmtId="0" fontId="5" fillId="0" borderId="10" xfId="0" applyFont="1" applyBorder="1" applyAlignment="1">
      <alignment horizontal="center" vertical="center" wrapText="1"/>
    </xf>
    <xf numFmtId="4" fontId="2" fillId="0" borderId="0" xfId="0" applyNumberFormat="1" applyFont="1"/>
    <xf numFmtId="2" fontId="5" fillId="0" borderId="0" xfId="0" applyNumberFormat="1" applyFont="1" applyAlignment="1">
      <alignment wrapText="1"/>
    </xf>
    <xf numFmtId="166" fontId="2" fillId="0" borderId="0" xfId="0" applyNumberFormat="1" applyFont="1"/>
    <xf numFmtId="0" fontId="22" fillId="0" borderId="0" xfId="0" applyFont="1"/>
    <xf numFmtId="166" fontId="2" fillId="2" borderId="0" xfId="0" applyNumberFormat="1" applyFont="1" applyFill="1" applyAlignment="1" applyProtection="1">
      <alignment horizontal="center"/>
      <protection locked="0"/>
    </xf>
    <xf numFmtId="0" fontId="2" fillId="0" borderId="18" xfId="0" applyFont="1" applyBorder="1"/>
    <xf numFmtId="0" fontId="5" fillId="0" borderId="0" xfId="0" applyFont="1" applyAlignment="1">
      <alignment horizontal="center" vertical="center" wrapText="1"/>
    </xf>
    <xf numFmtId="0" fontId="5" fillId="0" borderId="19" xfId="0" applyFont="1" applyBorder="1" applyAlignment="1">
      <alignment horizontal="center" vertical="center" wrapText="1"/>
    </xf>
    <xf numFmtId="4" fontId="2" fillId="0" borderId="19" xfId="0" applyNumberFormat="1" applyFont="1" applyBorder="1" applyAlignment="1">
      <alignment horizontal="center"/>
    </xf>
    <xf numFmtId="0" fontId="5" fillId="0" borderId="18" xfId="0" applyFont="1" applyBorder="1" applyAlignment="1">
      <alignment horizontal="center" vertical="center" wrapText="1"/>
    </xf>
    <xf numFmtId="0" fontId="2" fillId="0" borderId="19" xfId="0" applyFont="1" applyBorder="1" applyAlignment="1">
      <alignment horizontal="center"/>
    </xf>
    <xf numFmtId="2" fontId="2" fillId="2" borderId="14" xfId="0" applyNumberFormat="1" applyFont="1" applyFill="1" applyBorder="1" applyAlignment="1" applyProtection="1">
      <alignment horizontal="center"/>
      <protection locked="0"/>
    </xf>
    <xf numFmtId="0" fontId="2" fillId="0" borderId="14" xfId="0" applyFont="1" applyBorder="1" applyAlignment="1">
      <alignment horizontal="center"/>
    </xf>
    <xf numFmtId="0" fontId="2" fillId="3" borderId="14" xfId="0" applyFont="1" applyFill="1" applyBorder="1" applyAlignment="1" applyProtection="1">
      <alignment horizontal="center"/>
      <protection locked="0"/>
    </xf>
    <xf numFmtId="4" fontId="2" fillId="0" borderId="14" xfId="0" applyNumberFormat="1" applyFont="1" applyBorder="1" applyAlignment="1">
      <alignment horizontal="center"/>
    </xf>
    <xf numFmtId="0" fontId="2" fillId="0" borderId="16" xfId="0" applyFont="1" applyBorder="1"/>
    <xf numFmtId="0" fontId="2" fillId="0" borderId="16" xfId="0" applyFont="1" applyBorder="1" applyAlignment="1">
      <alignment horizontal="right"/>
    </xf>
    <xf numFmtId="0" fontId="2" fillId="2" borderId="14" xfId="0" applyFont="1" applyFill="1" applyBorder="1" applyAlignment="1" applyProtection="1">
      <alignment horizontal="center"/>
      <protection locked="0"/>
    </xf>
    <xf numFmtId="2" fontId="2" fillId="2" borderId="25" xfId="0" applyNumberFormat="1" applyFont="1" applyFill="1" applyBorder="1" applyAlignment="1" applyProtection="1">
      <alignment horizontal="center"/>
      <protection locked="0"/>
    </xf>
    <xf numFmtId="4" fontId="2" fillId="0" borderId="25" xfId="0" applyNumberFormat="1" applyFont="1" applyBorder="1" applyAlignment="1">
      <alignment horizontal="center"/>
    </xf>
    <xf numFmtId="0" fontId="5" fillId="0" borderId="23" xfId="0" applyFont="1" applyBorder="1" applyAlignment="1">
      <alignment horizontal="center" vertical="center" wrapText="1"/>
    </xf>
    <xf numFmtId="0" fontId="2" fillId="0" borderId="23" xfId="0" applyFont="1" applyBorder="1" applyAlignment="1">
      <alignment vertical="center"/>
    </xf>
    <xf numFmtId="0" fontId="5" fillId="0" borderId="28" xfId="0" applyFont="1" applyBorder="1" applyAlignment="1">
      <alignment horizontal="center" vertical="center" wrapText="1"/>
    </xf>
    <xf numFmtId="0" fontId="2" fillId="0" borderId="22" xfId="0" applyFont="1" applyBorder="1" applyAlignment="1">
      <alignment horizontal="center"/>
    </xf>
    <xf numFmtId="0" fontId="2" fillId="0" borderId="24" xfId="0" applyFont="1" applyBorder="1" applyAlignment="1">
      <alignment horizontal="center"/>
    </xf>
    <xf numFmtId="0" fontId="2" fillId="0" borderId="22" xfId="0" applyFont="1" applyBorder="1"/>
    <xf numFmtId="0" fontId="21" fillId="0" borderId="18" xfId="0" applyFont="1" applyBorder="1"/>
    <xf numFmtId="0" fontId="2" fillId="0" borderId="23" xfId="0" applyFont="1" applyBorder="1" applyAlignment="1">
      <alignment horizontal="center"/>
    </xf>
    <xf numFmtId="4" fontId="2" fillId="0" borderId="23" xfId="0" applyNumberFormat="1" applyFont="1" applyBorder="1" applyAlignment="1">
      <alignment horizontal="center"/>
    </xf>
    <xf numFmtId="0" fontId="5" fillId="0" borderId="17" xfId="0" applyFont="1" applyBorder="1" applyAlignment="1">
      <alignment horizontal="center" vertical="center" wrapText="1"/>
    </xf>
    <xf numFmtId="164" fontId="2" fillId="0" borderId="0" xfId="0" applyNumberFormat="1" applyFont="1"/>
    <xf numFmtId="1" fontId="18" fillId="0" borderId="0" xfId="0" applyNumberFormat="1" applyFont="1"/>
    <xf numFmtId="0" fontId="2" fillId="4" borderId="0" xfId="0" applyFont="1" applyFill="1"/>
    <xf numFmtId="0" fontId="20" fillId="0" borderId="13" xfId="0" applyFont="1" applyBorder="1" applyAlignment="1">
      <alignment wrapText="1"/>
    </xf>
    <xf numFmtId="0" fontId="23" fillId="0" borderId="0" xfId="0" applyFont="1"/>
    <xf numFmtId="0" fontId="26" fillId="0" borderId="0" xfId="0" applyFont="1"/>
    <xf numFmtId="0" fontId="5" fillId="0" borderId="13" xfId="0" applyFont="1" applyBorder="1"/>
    <xf numFmtId="0" fontId="5" fillId="0" borderId="13" xfId="0" applyFont="1" applyBorder="1" applyAlignment="1">
      <alignment horizontal="right"/>
    </xf>
    <xf numFmtId="168" fontId="5" fillId="0" borderId="21" xfId="0" applyNumberFormat="1" applyFont="1" applyBorder="1" applyAlignment="1">
      <alignment horizontal="center"/>
    </xf>
    <xf numFmtId="164" fontId="5" fillId="0" borderId="13" xfId="0" applyNumberFormat="1" applyFont="1" applyBorder="1" applyAlignment="1">
      <alignment horizontal="center"/>
    </xf>
    <xf numFmtId="0" fontId="11"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vertical="top" wrapText="1"/>
    </xf>
    <xf numFmtId="0" fontId="2" fillId="0" borderId="0" xfId="0" quotePrefix="1" applyFont="1" applyAlignment="1">
      <alignment horizontal="right"/>
    </xf>
    <xf numFmtId="168" fontId="2" fillId="2" borderId="1" xfId="0" applyNumberFormat="1" applyFont="1" applyFill="1" applyBorder="1" applyAlignment="1" applyProtection="1">
      <alignment horizontal="center"/>
      <protection locked="0"/>
    </xf>
    <xf numFmtId="168" fontId="2" fillId="0" borderId="4" xfId="0" applyNumberFormat="1" applyFont="1" applyBorder="1" applyAlignment="1">
      <alignment horizontal="center"/>
    </xf>
    <xf numFmtId="0" fontId="5" fillId="0" borderId="0" xfId="0" applyFont="1" applyAlignment="1">
      <alignment horizontal="center"/>
    </xf>
    <xf numFmtId="0" fontId="0" fillId="0" borderId="0" xfId="0" applyAlignment="1">
      <alignment horizontal="center"/>
    </xf>
    <xf numFmtId="0" fontId="2" fillId="0" borderId="0" xfId="0" applyFont="1" applyAlignment="1">
      <alignment horizontal="right"/>
    </xf>
    <xf numFmtId="0" fontId="2" fillId="0" borderId="0" xfId="0" applyFont="1" applyAlignment="1">
      <alignment horizontal="left"/>
    </xf>
    <xf numFmtId="0" fontId="20" fillId="0" borderId="13" xfId="0" applyFont="1" applyBorder="1" applyAlignment="1">
      <alignment horizontal="center" wrapText="1"/>
    </xf>
    <xf numFmtId="0" fontId="18" fillId="0" borderId="0" xfId="0" applyFont="1" applyAlignment="1">
      <alignment horizontal="center"/>
    </xf>
    <xf numFmtId="0" fontId="14" fillId="0" borderId="0" xfId="0" applyFont="1" applyAlignment="1">
      <alignment horizontal="center"/>
    </xf>
    <xf numFmtId="49" fontId="2" fillId="2" borderId="1" xfId="0" applyNumberFormat="1" applyFont="1" applyFill="1" applyBorder="1" applyAlignment="1" applyProtection="1">
      <alignment horizontal="center"/>
      <protection locked="0"/>
    </xf>
    <xf numFmtId="166" fontId="2" fillId="2" borderId="0" xfId="0" applyNumberFormat="1" applyFont="1" applyFill="1" applyAlignment="1" applyProtection="1">
      <alignment horizontal="center"/>
      <protection locked="0"/>
    </xf>
    <xf numFmtId="0" fontId="2" fillId="0" borderId="0" xfId="0" applyFont="1" applyAlignment="1">
      <alignment horizontal="center"/>
    </xf>
    <xf numFmtId="0" fontId="27" fillId="0" borderId="22" xfId="0" applyFont="1" applyBorder="1" applyAlignment="1">
      <alignment horizontal="center" vertical="center"/>
    </xf>
    <xf numFmtId="0" fontId="27" fillId="0" borderId="23" xfId="0" applyFont="1" applyBorder="1" applyAlignment="1">
      <alignment horizontal="center" vertical="center"/>
    </xf>
    <xf numFmtId="0" fontId="27" fillId="0" borderId="24" xfId="0" applyFont="1" applyBorder="1" applyAlignment="1">
      <alignment horizontal="center" vertic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8" xfId="0" applyFont="1" applyBorder="1" applyAlignment="1">
      <alignment horizontal="center"/>
    </xf>
    <xf numFmtId="0" fontId="2" fillId="0" borderId="20" xfId="0" applyFont="1" applyBorder="1" applyAlignment="1">
      <alignment horizontal="center"/>
    </xf>
    <xf numFmtId="0" fontId="2" fillId="0" borderId="13" xfId="0" applyFont="1" applyBorder="1" applyAlignment="1">
      <alignment horizontal="center"/>
    </xf>
    <xf numFmtId="2" fontId="2" fillId="0" borderId="26" xfId="0" applyNumberFormat="1" applyFont="1" applyBorder="1" applyAlignment="1" applyProtection="1">
      <alignment horizontal="center"/>
      <protection locked="0"/>
    </xf>
    <xf numFmtId="2" fontId="2" fillId="0" borderId="27" xfId="0" applyNumberFormat="1" applyFont="1" applyBorder="1" applyAlignment="1" applyProtection="1">
      <alignment horizontal="center"/>
      <protection locked="0"/>
    </xf>
    <xf numFmtId="2" fontId="2" fillId="0" borderId="25" xfId="0" applyNumberFormat="1" applyFont="1" applyBorder="1" applyAlignment="1" applyProtection="1">
      <alignment horizontal="center"/>
      <protection locked="0"/>
    </xf>
    <xf numFmtId="3" fontId="2" fillId="0" borderId="0" xfId="0" applyNumberFormat="1" applyFont="1" applyAlignment="1">
      <alignment horizontal="center"/>
    </xf>
    <xf numFmtId="4" fontId="2" fillId="0" borderId="0" xfId="0" applyNumberFormat="1" applyFont="1" applyAlignment="1">
      <alignment horizontal="center"/>
    </xf>
    <xf numFmtId="49" fontId="5" fillId="0" borderId="0" xfId="0" applyNumberFormat="1" applyFont="1" applyAlignment="1">
      <alignment horizontal="center"/>
    </xf>
    <xf numFmtId="2" fontId="2" fillId="2" borderId="1" xfId="0" applyNumberFormat="1" applyFont="1" applyFill="1" applyBorder="1" applyAlignment="1" applyProtection="1">
      <alignment horizontal="center"/>
      <protection locked="0"/>
    </xf>
    <xf numFmtId="0" fontId="6" fillId="0" borderId="0" xfId="0" applyFont="1" applyAlignment="1">
      <alignment horizontal="center"/>
    </xf>
    <xf numFmtId="49" fontId="2" fillId="0" borderId="0" xfId="0" applyNumberFormat="1" applyFont="1" applyAlignment="1">
      <alignment horizontal="center"/>
    </xf>
    <xf numFmtId="166" fontId="2" fillId="2" borderId="1" xfId="0" applyNumberFormat="1" applyFont="1" applyFill="1" applyBorder="1" applyAlignment="1" applyProtection="1">
      <alignment horizontal="center"/>
      <protection locked="0"/>
    </xf>
    <xf numFmtId="2" fontId="2" fillId="0" borderId="0" xfId="0" applyNumberFormat="1" applyFont="1" applyAlignment="1">
      <alignment horizontal="center"/>
    </xf>
    <xf numFmtId="0" fontId="2" fillId="0" borderId="1" xfId="0" applyFont="1" applyBorder="1" applyAlignment="1">
      <alignment horizontal="center"/>
    </xf>
    <xf numFmtId="0" fontId="5" fillId="0" borderId="0" xfId="0" applyFont="1" applyAlignment="1">
      <alignment horizontal="left"/>
    </xf>
    <xf numFmtId="166" fontId="2" fillId="0" borderId="0" xfId="0" applyNumberFormat="1" applyFont="1" applyAlignment="1">
      <alignment horizontal="center"/>
    </xf>
    <xf numFmtId="0" fontId="7" fillId="0" borderId="0" xfId="0" applyFont="1" applyAlignment="1">
      <alignment horizontal="center" vertical="distributed"/>
    </xf>
    <xf numFmtId="0" fontId="8" fillId="0" borderId="0" xfId="0" applyFont="1" applyAlignment="1">
      <alignment horizontal="center" vertical="distributed"/>
    </xf>
    <xf numFmtId="0" fontId="10" fillId="0" borderId="8" xfId="0" applyFont="1" applyBorder="1" applyAlignment="1">
      <alignment horizontal="center" vertical="center"/>
    </xf>
    <xf numFmtId="3" fontId="2" fillId="2" borderId="1" xfId="0" applyNumberFormat="1" applyFont="1" applyFill="1" applyBorder="1" applyAlignment="1" applyProtection="1">
      <alignment horizontal="center"/>
      <protection locked="0"/>
    </xf>
    <xf numFmtId="3" fontId="2" fillId="0" borderId="4" xfId="0" applyNumberFormat="1" applyFont="1" applyBorder="1" applyAlignment="1">
      <alignment horizontal="center"/>
    </xf>
    <xf numFmtId="4" fontId="2" fillId="0" borderId="4" xfId="0" applyNumberFormat="1" applyFont="1" applyBorder="1" applyAlignment="1">
      <alignment horizontal="center"/>
    </xf>
  </cellXfs>
  <cellStyles count="1">
    <cellStyle name="Normal" xfId="0" builtinId="0"/>
  </cellStyles>
  <dxfs count="10">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0000"/>
        </patternFill>
      </fill>
    </dxf>
    <dxf>
      <fill>
        <patternFill>
          <bgColor rgb="FFFF0000"/>
        </patternFill>
      </fill>
    </dxf>
    <dxf>
      <font>
        <color theme="0"/>
      </font>
      <fill>
        <patternFill>
          <bgColor theme="0"/>
        </patternFill>
      </fill>
      <border>
        <left style="thin">
          <color theme="1"/>
        </left>
        <right style="thin">
          <color theme="1"/>
        </right>
        <top style="thin">
          <color theme="1"/>
        </top>
        <bottom style="thin">
          <color theme="1"/>
        </bottom>
        <vertical/>
        <horizontal/>
      </border>
    </dxf>
    <dxf>
      <font>
        <color theme="0"/>
      </font>
      <fill>
        <patternFill>
          <bgColor theme="0"/>
        </patternFill>
      </fill>
      <border>
        <left/>
        <right/>
        <top/>
        <bottom/>
        <vertical/>
        <horizontal/>
      </border>
    </dxf>
    <dxf>
      <font>
        <color rgb="FFFF0000"/>
      </font>
    </dxf>
    <dxf>
      <font>
        <color rgb="FFFF0000"/>
      </font>
    </dxf>
  </dxfs>
  <tableStyles count="0" defaultTableStyle="TableStyleMedium9" defaultPivotStyle="PivotStyleLight16"/>
  <colors>
    <mruColors>
      <color rgb="FFFFFF99"/>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02"/>
  <sheetViews>
    <sheetView workbookViewId="0">
      <selection sqref="A1:L25"/>
    </sheetView>
  </sheetViews>
  <sheetFormatPr defaultRowHeight="15"/>
  <sheetData>
    <row r="1" spans="1:12" ht="5.0999999999999996" customHeight="1">
      <c r="A1" s="107" t="s">
        <v>0</v>
      </c>
      <c r="B1" s="108"/>
      <c r="C1" s="108"/>
      <c r="D1" s="108"/>
      <c r="E1" s="108"/>
      <c r="F1" s="108"/>
      <c r="G1" s="108"/>
      <c r="H1" s="108"/>
      <c r="I1" s="108"/>
      <c r="J1" s="108"/>
      <c r="K1" s="108"/>
      <c r="L1" s="108"/>
    </row>
    <row r="2" spans="1:12" ht="5.0999999999999996" customHeight="1">
      <c r="A2" s="108"/>
      <c r="B2" s="108"/>
      <c r="C2" s="108"/>
      <c r="D2" s="108"/>
      <c r="E2" s="108"/>
      <c r="F2" s="108"/>
      <c r="G2" s="108"/>
      <c r="H2" s="108"/>
      <c r="I2" s="108"/>
      <c r="J2" s="108"/>
      <c r="K2" s="108"/>
      <c r="L2" s="108"/>
    </row>
    <row r="3" spans="1:12" ht="5.0999999999999996" customHeight="1">
      <c r="A3" s="108"/>
      <c r="B3" s="108"/>
      <c r="C3" s="108"/>
      <c r="D3" s="108"/>
      <c r="E3" s="108"/>
      <c r="F3" s="108"/>
      <c r="G3" s="108"/>
      <c r="H3" s="108"/>
      <c r="I3" s="108"/>
      <c r="J3" s="108"/>
      <c r="K3" s="108"/>
      <c r="L3" s="108"/>
    </row>
    <row r="4" spans="1:12" ht="5.0999999999999996" customHeight="1">
      <c r="A4" s="108"/>
      <c r="B4" s="108"/>
      <c r="C4" s="108"/>
      <c r="D4" s="108"/>
      <c r="E4" s="108"/>
      <c r="F4" s="108"/>
      <c r="G4" s="108"/>
      <c r="H4" s="108"/>
      <c r="I4" s="108"/>
      <c r="J4" s="108"/>
      <c r="K4" s="108"/>
      <c r="L4" s="108"/>
    </row>
    <row r="5" spans="1:12" ht="5.0999999999999996" customHeight="1">
      <c r="A5" s="108"/>
      <c r="B5" s="108"/>
      <c r="C5" s="108"/>
      <c r="D5" s="108"/>
      <c r="E5" s="108"/>
      <c r="F5" s="108"/>
      <c r="G5" s="108"/>
      <c r="H5" s="108"/>
      <c r="I5" s="108"/>
      <c r="J5" s="108"/>
      <c r="K5" s="108"/>
      <c r="L5" s="108"/>
    </row>
    <row r="6" spans="1:12" ht="5.0999999999999996" customHeight="1">
      <c r="A6" s="108"/>
      <c r="B6" s="108"/>
      <c r="C6" s="108"/>
      <c r="D6" s="108"/>
      <c r="E6" s="108"/>
      <c r="F6" s="108"/>
      <c r="G6" s="108"/>
      <c r="H6" s="108"/>
      <c r="I6" s="108"/>
      <c r="J6" s="108"/>
      <c r="K6" s="108"/>
      <c r="L6" s="108"/>
    </row>
    <row r="7" spans="1:12" ht="5.0999999999999996" customHeight="1">
      <c r="A7" s="108"/>
      <c r="B7" s="108"/>
      <c r="C7" s="108"/>
      <c r="D7" s="108"/>
      <c r="E7" s="108"/>
      <c r="F7" s="108"/>
      <c r="G7" s="108"/>
      <c r="H7" s="108"/>
      <c r="I7" s="108"/>
      <c r="J7" s="108"/>
      <c r="K7" s="108"/>
      <c r="L7" s="108"/>
    </row>
    <row r="8" spans="1:12" ht="5.0999999999999996" customHeight="1">
      <c r="A8" s="108"/>
      <c r="B8" s="108"/>
      <c r="C8" s="108"/>
      <c r="D8" s="108"/>
      <c r="E8" s="108"/>
      <c r="F8" s="108"/>
      <c r="G8" s="108"/>
      <c r="H8" s="108"/>
      <c r="I8" s="108"/>
      <c r="J8" s="108"/>
      <c r="K8" s="108"/>
      <c r="L8" s="108"/>
    </row>
    <row r="9" spans="1:12" ht="5.0999999999999996" customHeight="1">
      <c r="A9" s="108"/>
      <c r="B9" s="108"/>
      <c r="C9" s="108"/>
      <c r="D9" s="108"/>
      <c r="E9" s="108"/>
      <c r="F9" s="108"/>
      <c r="G9" s="108"/>
      <c r="H9" s="108"/>
      <c r="I9" s="108"/>
      <c r="J9" s="108"/>
      <c r="K9" s="108"/>
      <c r="L9" s="108"/>
    </row>
    <row r="10" spans="1:12" ht="5.0999999999999996" customHeight="1">
      <c r="A10" s="108"/>
      <c r="B10" s="108"/>
      <c r="C10" s="108"/>
      <c r="D10" s="108"/>
      <c r="E10" s="108"/>
      <c r="F10" s="108"/>
      <c r="G10" s="108"/>
      <c r="H10" s="108"/>
      <c r="I10" s="108"/>
      <c r="J10" s="108"/>
      <c r="K10" s="108"/>
      <c r="L10" s="108"/>
    </row>
    <row r="11" spans="1:12" ht="5.0999999999999996" customHeight="1">
      <c r="A11" s="108"/>
      <c r="B11" s="108"/>
      <c r="C11" s="108"/>
      <c r="D11" s="108"/>
      <c r="E11" s="108"/>
      <c r="F11" s="108"/>
      <c r="G11" s="108"/>
      <c r="H11" s="108"/>
      <c r="I11" s="108"/>
      <c r="J11" s="108"/>
      <c r="K11" s="108"/>
      <c r="L11" s="108"/>
    </row>
    <row r="12" spans="1:12" ht="5.0999999999999996" customHeight="1">
      <c r="A12" s="108"/>
      <c r="B12" s="108"/>
      <c r="C12" s="108"/>
      <c r="D12" s="108"/>
      <c r="E12" s="108"/>
      <c r="F12" s="108"/>
      <c r="G12" s="108"/>
      <c r="H12" s="108"/>
      <c r="I12" s="108"/>
      <c r="J12" s="108"/>
      <c r="K12" s="108"/>
      <c r="L12" s="108"/>
    </row>
    <row r="13" spans="1:12" ht="5.0999999999999996" customHeight="1">
      <c r="A13" s="108"/>
      <c r="B13" s="108"/>
      <c r="C13" s="108"/>
      <c r="D13" s="108"/>
      <c r="E13" s="108"/>
      <c r="F13" s="108"/>
      <c r="G13" s="108"/>
      <c r="H13" s="108"/>
      <c r="I13" s="108"/>
      <c r="J13" s="108"/>
      <c r="K13" s="108"/>
      <c r="L13" s="108"/>
    </row>
    <row r="14" spans="1:12" ht="5.0999999999999996" customHeight="1">
      <c r="A14" s="108"/>
      <c r="B14" s="108"/>
      <c r="C14" s="108"/>
      <c r="D14" s="108"/>
      <c r="E14" s="108"/>
      <c r="F14" s="108"/>
      <c r="G14" s="108"/>
      <c r="H14" s="108"/>
      <c r="I14" s="108"/>
      <c r="J14" s="108"/>
      <c r="K14" s="108"/>
      <c r="L14" s="108"/>
    </row>
    <row r="15" spans="1:12" ht="5.0999999999999996" customHeight="1">
      <c r="A15" s="108"/>
      <c r="B15" s="108"/>
      <c r="C15" s="108"/>
      <c r="D15" s="108"/>
      <c r="E15" s="108"/>
      <c r="F15" s="108"/>
      <c r="G15" s="108"/>
      <c r="H15" s="108"/>
      <c r="I15" s="108"/>
      <c r="J15" s="108"/>
      <c r="K15" s="108"/>
      <c r="L15" s="108"/>
    </row>
    <row r="16" spans="1:12" ht="5.0999999999999996" customHeight="1">
      <c r="A16" s="108"/>
      <c r="B16" s="108"/>
      <c r="C16" s="108"/>
      <c r="D16" s="108"/>
      <c r="E16" s="108"/>
      <c r="F16" s="108"/>
      <c r="G16" s="108"/>
      <c r="H16" s="108"/>
      <c r="I16" s="108"/>
      <c r="J16" s="108"/>
      <c r="K16" s="108"/>
      <c r="L16" s="108"/>
    </row>
    <row r="17" spans="1:12" ht="5.0999999999999996" customHeight="1">
      <c r="A17" s="108"/>
      <c r="B17" s="108"/>
      <c r="C17" s="108"/>
      <c r="D17" s="108"/>
      <c r="E17" s="108"/>
      <c r="F17" s="108"/>
      <c r="G17" s="108"/>
      <c r="H17" s="108"/>
      <c r="I17" s="108"/>
      <c r="J17" s="108"/>
      <c r="K17" s="108"/>
      <c r="L17" s="108"/>
    </row>
    <row r="18" spans="1:12" ht="5.0999999999999996" customHeight="1">
      <c r="A18" s="108"/>
      <c r="B18" s="108"/>
      <c r="C18" s="108"/>
      <c r="D18" s="108"/>
      <c r="E18" s="108"/>
      <c r="F18" s="108"/>
      <c r="G18" s="108"/>
      <c r="H18" s="108"/>
      <c r="I18" s="108"/>
      <c r="J18" s="108"/>
      <c r="K18" s="108"/>
      <c r="L18" s="108"/>
    </row>
    <row r="19" spans="1:12" ht="5.0999999999999996" customHeight="1">
      <c r="A19" s="108"/>
      <c r="B19" s="108"/>
      <c r="C19" s="108"/>
      <c r="D19" s="108"/>
      <c r="E19" s="108"/>
      <c r="F19" s="108"/>
      <c r="G19" s="108"/>
      <c r="H19" s="108"/>
      <c r="I19" s="108"/>
      <c r="J19" s="108"/>
      <c r="K19" s="108"/>
      <c r="L19" s="108"/>
    </row>
    <row r="20" spans="1:12" ht="5.0999999999999996" customHeight="1">
      <c r="A20" s="108"/>
      <c r="B20" s="108"/>
      <c r="C20" s="108"/>
      <c r="D20" s="108"/>
      <c r="E20" s="108"/>
      <c r="F20" s="108"/>
      <c r="G20" s="108"/>
      <c r="H20" s="108"/>
      <c r="I20" s="108"/>
      <c r="J20" s="108"/>
      <c r="K20" s="108"/>
      <c r="L20" s="108"/>
    </row>
    <row r="21" spans="1:12" ht="5.0999999999999996" customHeight="1">
      <c r="A21" s="108"/>
      <c r="B21" s="108"/>
      <c r="C21" s="108"/>
      <c r="D21" s="108"/>
      <c r="E21" s="108"/>
      <c r="F21" s="108"/>
      <c r="G21" s="108"/>
      <c r="H21" s="108"/>
      <c r="I21" s="108"/>
      <c r="J21" s="108"/>
      <c r="K21" s="108"/>
      <c r="L21" s="108"/>
    </row>
    <row r="22" spans="1:12" ht="5.0999999999999996" customHeight="1">
      <c r="A22" s="108"/>
      <c r="B22" s="108"/>
      <c r="C22" s="108"/>
      <c r="D22" s="108"/>
      <c r="E22" s="108"/>
      <c r="F22" s="108"/>
      <c r="G22" s="108"/>
      <c r="H22" s="108"/>
      <c r="I22" s="108"/>
      <c r="J22" s="108"/>
      <c r="K22" s="108"/>
      <c r="L22" s="108"/>
    </row>
    <row r="23" spans="1:12" ht="5.0999999999999996" customHeight="1">
      <c r="A23" s="108"/>
      <c r="B23" s="108"/>
      <c r="C23" s="108"/>
      <c r="D23" s="108"/>
      <c r="E23" s="108"/>
      <c r="F23" s="108"/>
      <c r="G23" s="108"/>
      <c r="H23" s="108"/>
      <c r="I23" s="108"/>
      <c r="J23" s="108"/>
      <c r="K23" s="108"/>
      <c r="L23" s="108"/>
    </row>
    <row r="24" spans="1:12" ht="5.0999999999999996" customHeight="1">
      <c r="A24" s="108"/>
      <c r="B24" s="108"/>
      <c r="C24" s="108"/>
      <c r="D24" s="108"/>
      <c r="E24" s="108"/>
      <c r="F24" s="108"/>
      <c r="G24" s="108"/>
      <c r="H24" s="108"/>
      <c r="I24" s="108"/>
      <c r="J24" s="108"/>
      <c r="K24" s="108"/>
      <c r="L24" s="108"/>
    </row>
    <row r="25" spans="1:12" ht="5.0999999999999996" customHeight="1">
      <c r="A25" s="108"/>
      <c r="B25" s="108"/>
      <c r="C25" s="108"/>
      <c r="D25" s="108"/>
      <c r="E25" s="108"/>
      <c r="F25" s="108"/>
      <c r="G25" s="108"/>
      <c r="H25" s="108"/>
      <c r="I25" s="108"/>
      <c r="J25" s="108"/>
      <c r="K25" s="108"/>
      <c r="L25" s="108"/>
    </row>
    <row r="26" spans="1:12" ht="5.0999999999999996" customHeight="1">
      <c r="A26" s="109" t="s">
        <v>1</v>
      </c>
      <c r="B26" s="109"/>
      <c r="C26" s="109"/>
      <c r="D26" s="109"/>
      <c r="E26" s="109"/>
      <c r="F26" s="109"/>
      <c r="G26" s="109"/>
      <c r="H26" s="109"/>
      <c r="I26" s="109"/>
      <c r="J26" s="109"/>
      <c r="K26" s="109"/>
      <c r="L26" s="109"/>
    </row>
    <row r="27" spans="1:12" ht="5.0999999999999996" customHeight="1">
      <c r="A27" s="109"/>
      <c r="B27" s="109"/>
      <c r="C27" s="109"/>
      <c r="D27" s="109"/>
      <c r="E27" s="109"/>
      <c r="F27" s="109"/>
      <c r="G27" s="109"/>
      <c r="H27" s="109"/>
      <c r="I27" s="109"/>
      <c r="J27" s="109"/>
      <c r="K27" s="109"/>
      <c r="L27" s="109"/>
    </row>
    <row r="28" spans="1:12" ht="5.0999999999999996" customHeight="1">
      <c r="A28" s="109"/>
      <c r="B28" s="109"/>
      <c r="C28" s="109"/>
      <c r="D28" s="109"/>
      <c r="E28" s="109"/>
      <c r="F28" s="109"/>
      <c r="G28" s="109"/>
      <c r="H28" s="109"/>
      <c r="I28" s="109"/>
      <c r="J28" s="109"/>
      <c r="K28" s="109"/>
      <c r="L28" s="109"/>
    </row>
    <row r="29" spans="1:12" ht="5.0999999999999996" customHeight="1">
      <c r="A29" s="109"/>
      <c r="B29" s="109"/>
      <c r="C29" s="109"/>
      <c r="D29" s="109"/>
      <c r="E29" s="109"/>
      <c r="F29" s="109"/>
      <c r="G29" s="109"/>
      <c r="H29" s="109"/>
      <c r="I29" s="109"/>
      <c r="J29" s="109"/>
      <c r="K29" s="109"/>
      <c r="L29" s="109"/>
    </row>
    <row r="30" spans="1:12" ht="5.0999999999999996" customHeight="1">
      <c r="A30" s="109"/>
      <c r="B30" s="109"/>
      <c r="C30" s="109"/>
      <c r="D30" s="109"/>
      <c r="E30" s="109"/>
      <c r="F30" s="109"/>
      <c r="G30" s="109"/>
      <c r="H30" s="109"/>
      <c r="I30" s="109"/>
      <c r="J30" s="109"/>
      <c r="K30" s="109"/>
      <c r="L30" s="109"/>
    </row>
    <row r="31" spans="1:12" ht="5.0999999999999996" customHeight="1">
      <c r="A31" s="109"/>
      <c r="B31" s="109"/>
      <c r="C31" s="109"/>
      <c r="D31" s="109"/>
      <c r="E31" s="109"/>
      <c r="F31" s="109"/>
      <c r="G31" s="109"/>
      <c r="H31" s="109"/>
      <c r="I31" s="109"/>
      <c r="J31" s="109"/>
      <c r="K31" s="109"/>
      <c r="L31" s="109"/>
    </row>
    <row r="32" spans="1:12" ht="5.0999999999999996" customHeight="1">
      <c r="A32" s="109"/>
      <c r="B32" s="109"/>
      <c r="C32" s="109"/>
      <c r="D32" s="109"/>
      <c r="E32" s="109"/>
      <c r="F32" s="109"/>
      <c r="G32" s="109"/>
      <c r="H32" s="109"/>
      <c r="I32" s="109"/>
      <c r="J32" s="109"/>
      <c r="K32" s="109"/>
      <c r="L32" s="109"/>
    </row>
    <row r="33" spans="1:12" ht="5.0999999999999996" customHeight="1">
      <c r="A33" s="109"/>
      <c r="B33" s="109"/>
      <c r="C33" s="109"/>
      <c r="D33" s="109"/>
      <c r="E33" s="109"/>
      <c r="F33" s="109"/>
      <c r="G33" s="109"/>
      <c r="H33" s="109"/>
      <c r="I33" s="109"/>
      <c r="J33" s="109"/>
      <c r="K33" s="109"/>
      <c r="L33" s="109"/>
    </row>
    <row r="34" spans="1:12" ht="5.0999999999999996" customHeight="1">
      <c r="A34" s="109"/>
      <c r="B34" s="109"/>
      <c r="C34" s="109"/>
      <c r="D34" s="109"/>
      <c r="E34" s="109"/>
      <c r="F34" s="109"/>
      <c r="G34" s="109"/>
      <c r="H34" s="109"/>
      <c r="I34" s="109"/>
      <c r="J34" s="109"/>
      <c r="K34" s="109"/>
      <c r="L34" s="109"/>
    </row>
    <row r="35" spans="1:12" ht="5.0999999999999996" customHeight="1">
      <c r="A35" s="109"/>
      <c r="B35" s="109"/>
      <c r="C35" s="109"/>
      <c r="D35" s="109"/>
      <c r="E35" s="109"/>
      <c r="F35" s="109"/>
      <c r="G35" s="109"/>
      <c r="H35" s="109"/>
      <c r="I35" s="109"/>
      <c r="J35" s="109"/>
      <c r="K35" s="109"/>
      <c r="L35" s="109"/>
    </row>
    <row r="36" spans="1:12" ht="5.0999999999999996" customHeight="1">
      <c r="A36" s="109"/>
      <c r="B36" s="109"/>
      <c r="C36" s="109"/>
      <c r="D36" s="109"/>
      <c r="E36" s="109"/>
      <c r="F36" s="109"/>
      <c r="G36" s="109"/>
      <c r="H36" s="109"/>
      <c r="I36" s="109"/>
      <c r="J36" s="109"/>
      <c r="K36" s="109"/>
      <c r="L36" s="109"/>
    </row>
    <row r="37" spans="1:12" ht="5.0999999999999996" customHeight="1">
      <c r="A37" s="109"/>
      <c r="B37" s="109"/>
      <c r="C37" s="109"/>
      <c r="D37" s="109"/>
      <c r="E37" s="109"/>
      <c r="F37" s="109"/>
      <c r="G37" s="109"/>
      <c r="H37" s="109"/>
      <c r="I37" s="109"/>
      <c r="J37" s="109"/>
      <c r="K37" s="109"/>
      <c r="L37" s="109"/>
    </row>
    <row r="38" spans="1:12" ht="5.0999999999999996" customHeight="1">
      <c r="A38" s="109"/>
      <c r="B38" s="109"/>
      <c r="C38" s="109"/>
      <c r="D38" s="109"/>
      <c r="E38" s="109"/>
      <c r="F38" s="109"/>
      <c r="G38" s="109"/>
      <c r="H38" s="109"/>
      <c r="I38" s="109"/>
      <c r="J38" s="109"/>
      <c r="K38" s="109"/>
      <c r="L38" s="109"/>
    </row>
    <row r="39" spans="1:12" ht="5.0999999999999996" customHeight="1">
      <c r="A39" s="109"/>
      <c r="B39" s="109"/>
      <c r="C39" s="109"/>
      <c r="D39" s="109"/>
      <c r="E39" s="109"/>
      <c r="F39" s="109"/>
      <c r="G39" s="109"/>
      <c r="H39" s="109"/>
      <c r="I39" s="109"/>
      <c r="J39" s="109"/>
      <c r="K39" s="109"/>
      <c r="L39" s="109"/>
    </row>
    <row r="40" spans="1:12" ht="5.0999999999999996" customHeight="1">
      <c r="A40" s="109"/>
      <c r="B40" s="109"/>
      <c r="C40" s="109"/>
      <c r="D40" s="109"/>
      <c r="E40" s="109"/>
      <c r="F40" s="109"/>
      <c r="G40" s="109"/>
      <c r="H40" s="109"/>
      <c r="I40" s="109"/>
      <c r="J40" s="109"/>
      <c r="K40" s="109"/>
      <c r="L40" s="109"/>
    </row>
    <row r="41" spans="1:12" ht="5.0999999999999996" customHeight="1">
      <c r="A41" s="109"/>
      <c r="B41" s="109"/>
      <c r="C41" s="109"/>
      <c r="D41" s="109"/>
      <c r="E41" s="109"/>
      <c r="F41" s="109"/>
      <c r="G41" s="109"/>
      <c r="H41" s="109"/>
      <c r="I41" s="109"/>
      <c r="J41" s="109"/>
      <c r="K41" s="109"/>
      <c r="L41" s="109"/>
    </row>
    <row r="42" spans="1:12" ht="5.0999999999999996" customHeight="1">
      <c r="A42" s="109"/>
      <c r="B42" s="109"/>
      <c r="C42" s="109"/>
      <c r="D42" s="109"/>
      <c r="E42" s="109"/>
      <c r="F42" s="109"/>
      <c r="G42" s="109"/>
      <c r="H42" s="109"/>
      <c r="I42" s="109"/>
      <c r="J42" s="109"/>
      <c r="K42" s="109"/>
      <c r="L42" s="109"/>
    </row>
    <row r="43" spans="1:12" ht="5.0999999999999996" customHeight="1">
      <c r="A43" s="109"/>
      <c r="B43" s="109"/>
      <c r="C43" s="109"/>
      <c r="D43" s="109"/>
      <c r="E43" s="109"/>
      <c r="F43" s="109"/>
      <c r="G43" s="109"/>
      <c r="H43" s="109"/>
      <c r="I43" s="109"/>
      <c r="J43" s="109"/>
      <c r="K43" s="109"/>
      <c r="L43" s="109"/>
    </row>
    <row r="44" spans="1:12" ht="5.0999999999999996" customHeight="1">
      <c r="A44" s="109"/>
      <c r="B44" s="109"/>
      <c r="C44" s="109"/>
      <c r="D44" s="109"/>
      <c r="E44" s="109"/>
      <c r="F44" s="109"/>
      <c r="G44" s="109"/>
      <c r="H44" s="109"/>
      <c r="I44" s="109"/>
      <c r="J44" s="109"/>
      <c r="K44" s="109"/>
      <c r="L44" s="109"/>
    </row>
    <row r="45" spans="1:12" ht="5.0999999999999996" customHeight="1">
      <c r="A45" s="109"/>
      <c r="B45" s="109"/>
      <c r="C45" s="109"/>
      <c r="D45" s="109"/>
      <c r="E45" s="109"/>
      <c r="F45" s="109"/>
      <c r="G45" s="109"/>
      <c r="H45" s="109"/>
      <c r="I45" s="109"/>
      <c r="J45" s="109"/>
      <c r="K45" s="109"/>
      <c r="L45" s="109"/>
    </row>
    <row r="46" spans="1:12" ht="5.0999999999999996" customHeight="1">
      <c r="A46" s="109"/>
      <c r="B46" s="109"/>
      <c r="C46" s="109"/>
      <c r="D46" s="109"/>
      <c r="E46" s="109"/>
      <c r="F46" s="109"/>
      <c r="G46" s="109"/>
      <c r="H46" s="109"/>
      <c r="I46" s="109"/>
      <c r="J46" s="109"/>
      <c r="K46" s="109"/>
      <c r="L46" s="109"/>
    </row>
    <row r="47" spans="1:12" ht="5.0999999999999996" customHeight="1">
      <c r="A47" s="109"/>
      <c r="B47" s="109"/>
      <c r="C47" s="109"/>
      <c r="D47" s="109"/>
      <c r="E47" s="109"/>
      <c r="F47" s="109"/>
      <c r="G47" s="109"/>
      <c r="H47" s="109"/>
      <c r="I47" s="109"/>
      <c r="J47" s="109"/>
      <c r="K47" s="109"/>
      <c r="L47" s="109"/>
    </row>
    <row r="48" spans="1:12" ht="5.0999999999999996" customHeight="1">
      <c r="A48" s="109"/>
      <c r="B48" s="109"/>
      <c r="C48" s="109"/>
      <c r="D48" s="109"/>
      <c r="E48" s="109"/>
      <c r="F48" s="109"/>
      <c r="G48" s="109"/>
      <c r="H48" s="109"/>
      <c r="I48" s="109"/>
      <c r="J48" s="109"/>
      <c r="K48" s="109"/>
      <c r="L48" s="109"/>
    </row>
    <row r="49" spans="1:12" ht="5.0999999999999996" customHeight="1">
      <c r="A49" s="109" t="s">
        <v>78</v>
      </c>
      <c r="B49" s="109"/>
      <c r="C49" s="109"/>
      <c r="D49" s="109"/>
      <c r="E49" s="109"/>
      <c r="F49" s="109"/>
      <c r="G49" s="109"/>
      <c r="H49" s="109"/>
      <c r="I49" s="109"/>
      <c r="J49" s="109"/>
      <c r="K49" s="109"/>
      <c r="L49" s="109"/>
    </row>
    <row r="50" spans="1:12" ht="5.0999999999999996" customHeight="1">
      <c r="A50" s="109"/>
      <c r="B50" s="109"/>
      <c r="C50" s="109"/>
      <c r="D50" s="109"/>
      <c r="E50" s="109"/>
      <c r="F50" s="109"/>
      <c r="G50" s="109"/>
      <c r="H50" s="109"/>
      <c r="I50" s="109"/>
      <c r="J50" s="109"/>
      <c r="K50" s="109"/>
      <c r="L50" s="109"/>
    </row>
    <row r="51" spans="1:12" ht="5.0999999999999996" customHeight="1">
      <c r="A51" s="109"/>
      <c r="B51" s="109"/>
      <c r="C51" s="109"/>
      <c r="D51" s="109"/>
      <c r="E51" s="109"/>
      <c r="F51" s="109"/>
      <c r="G51" s="109"/>
      <c r="H51" s="109"/>
      <c r="I51" s="109"/>
      <c r="J51" s="109"/>
      <c r="K51" s="109"/>
      <c r="L51" s="109"/>
    </row>
    <row r="52" spans="1:12" ht="5.0999999999999996" customHeight="1">
      <c r="A52" s="109"/>
      <c r="B52" s="109"/>
      <c r="C52" s="109"/>
      <c r="D52" s="109"/>
      <c r="E52" s="109"/>
      <c r="F52" s="109"/>
      <c r="G52" s="109"/>
      <c r="H52" s="109"/>
      <c r="I52" s="109"/>
      <c r="J52" s="109"/>
      <c r="K52" s="109"/>
      <c r="L52" s="109"/>
    </row>
    <row r="53" spans="1:12" ht="5.0999999999999996" customHeight="1">
      <c r="A53" s="109"/>
      <c r="B53" s="109"/>
      <c r="C53" s="109"/>
      <c r="D53" s="109"/>
      <c r="E53" s="109"/>
      <c r="F53" s="109"/>
      <c r="G53" s="109"/>
      <c r="H53" s="109"/>
      <c r="I53" s="109"/>
      <c r="J53" s="109"/>
      <c r="K53" s="109"/>
      <c r="L53" s="109"/>
    </row>
    <row r="54" spans="1:12" ht="5.0999999999999996" customHeight="1">
      <c r="A54" s="109"/>
      <c r="B54" s="109"/>
      <c r="C54" s="109"/>
      <c r="D54" s="109"/>
      <c r="E54" s="109"/>
      <c r="F54" s="109"/>
      <c r="G54" s="109"/>
      <c r="H54" s="109"/>
      <c r="I54" s="109"/>
      <c r="J54" s="109"/>
      <c r="K54" s="109"/>
      <c r="L54" s="109"/>
    </row>
    <row r="55" spans="1:12" ht="5.0999999999999996" customHeight="1">
      <c r="A55" s="109"/>
      <c r="B55" s="109"/>
      <c r="C55" s="109"/>
      <c r="D55" s="109"/>
      <c r="E55" s="109"/>
      <c r="F55" s="109"/>
      <c r="G55" s="109"/>
      <c r="H55" s="109"/>
      <c r="I55" s="109"/>
      <c r="J55" s="109"/>
      <c r="K55" s="109"/>
      <c r="L55" s="109"/>
    </row>
    <row r="56" spans="1:12" ht="5.0999999999999996" customHeight="1">
      <c r="A56" s="109"/>
      <c r="B56" s="109"/>
      <c r="C56" s="109"/>
      <c r="D56" s="109"/>
      <c r="E56" s="109"/>
      <c r="F56" s="109"/>
      <c r="G56" s="109"/>
      <c r="H56" s="109"/>
      <c r="I56" s="109"/>
      <c r="J56" s="109"/>
      <c r="K56" s="109"/>
      <c r="L56" s="109"/>
    </row>
    <row r="57" spans="1:12" ht="5.0999999999999996" customHeight="1">
      <c r="A57" s="109"/>
      <c r="B57" s="109"/>
      <c r="C57" s="109"/>
      <c r="D57" s="109"/>
      <c r="E57" s="109"/>
      <c r="F57" s="109"/>
      <c r="G57" s="109"/>
      <c r="H57" s="109"/>
      <c r="I57" s="109"/>
      <c r="J57" s="109"/>
      <c r="K57" s="109"/>
      <c r="L57" s="109"/>
    </row>
    <row r="58" spans="1:12" ht="5.0999999999999996" customHeight="1">
      <c r="A58" s="109"/>
      <c r="B58" s="109"/>
      <c r="C58" s="109"/>
      <c r="D58" s="109"/>
      <c r="E58" s="109"/>
      <c r="F58" s="109"/>
      <c r="G58" s="109"/>
      <c r="H58" s="109"/>
      <c r="I58" s="109"/>
      <c r="J58" s="109"/>
      <c r="K58" s="109"/>
      <c r="L58" s="109"/>
    </row>
    <row r="59" spans="1:12" ht="5.0999999999999996" customHeight="1">
      <c r="A59" s="109"/>
      <c r="B59" s="109"/>
      <c r="C59" s="109"/>
      <c r="D59" s="109"/>
      <c r="E59" s="109"/>
      <c r="F59" s="109"/>
      <c r="G59" s="109"/>
      <c r="H59" s="109"/>
      <c r="I59" s="109"/>
      <c r="J59" s="109"/>
      <c r="K59" s="109"/>
      <c r="L59" s="109"/>
    </row>
    <row r="60" spans="1:12" ht="5.0999999999999996" customHeight="1">
      <c r="A60" s="109"/>
      <c r="B60" s="109"/>
      <c r="C60" s="109"/>
      <c r="D60" s="109"/>
      <c r="E60" s="109"/>
      <c r="F60" s="109"/>
      <c r="G60" s="109"/>
      <c r="H60" s="109"/>
      <c r="I60" s="109"/>
      <c r="J60" s="109"/>
      <c r="K60" s="109"/>
      <c r="L60" s="109"/>
    </row>
    <row r="61" spans="1:12" ht="5.0999999999999996" customHeight="1">
      <c r="A61" s="109"/>
      <c r="B61" s="109"/>
      <c r="C61" s="109"/>
      <c r="D61" s="109"/>
      <c r="E61" s="109"/>
      <c r="F61" s="109"/>
      <c r="G61" s="109"/>
      <c r="H61" s="109"/>
      <c r="I61" s="109"/>
      <c r="J61" s="109"/>
      <c r="K61" s="109"/>
      <c r="L61" s="109"/>
    </row>
    <row r="62" spans="1:12" ht="5.0999999999999996" customHeight="1">
      <c r="A62" s="109"/>
      <c r="B62" s="109"/>
      <c r="C62" s="109"/>
      <c r="D62" s="109"/>
      <c r="E62" s="109"/>
      <c r="F62" s="109"/>
      <c r="G62" s="109"/>
      <c r="H62" s="109"/>
      <c r="I62" s="109"/>
      <c r="J62" s="109"/>
      <c r="K62" s="109"/>
      <c r="L62" s="109"/>
    </row>
    <row r="63" spans="1:12" ht="5.0999999999999996" customHeight="1">
      <c r="A63" s="109"/>
      <c r="B63" s="109"/>
      <c r="C63" s="109"/>
      <c r="D63" s="109"/>
      <c r="E63" s="109"/>
      <c r="F63" s="109"/>
      <c r="G63" s="109"/>
      <c r="H63" s="109"/>
      <c r="I63" s="109"/>
      <c r="J63" s="109"/>
      <c r="K63" s="109"/>
      <c r="L63" s="109"/>
    </row>
    <row r="64" spans="1:12" ht="5.0999999999999996" customHeight="1">
      <c r="A64" s="109"/>
      <c r="B64" s="109"/>
      <c r="C64" s="109"/>
      <c r="D64" s="109"/>
      <c r="E64" s="109"/>
      <c r="F64" s="109"/>
      <c r="G64" s="109"/>
      <c r="H64" s="109"/>
      <c r="I64" s="109"/>
      <c r="J64" s="109"/>
      <c r="K64" s="109"/>
      <c r="L64" s="109"/>
    </row>
    <row r="65" spans="1:12" ht="5.0999999999999996" customHeight="1">
      <c r="A65" s="109"/>
      <c r="B65" s="109"/>
      <c r="C65" s="109"/>
      <c r="D65" s="109"/>
      <c r="E65" s="109"/>
      <c r="F65" s="109"/>
      <c r="G65" s="109"/>
      <c r="H65" s="109"/>
      <c r="I65" s="109"/>
      <c r="J65" s="109"/>
      <c r="K65" s="109"/>
      <c r="L65" s="109"/>
    </row>
    <row r="66" spans="1:12" ht="5.0999999999999996" customHeight="1">
      <c r="A66" s="109"/>
      <c r="B66" s="109"/>
      <c r="C66" s="109"/>
      <c r="D66" s="109"/>
      <c r="E66" s="109"/>
      <c r="F66" s="109"/>
      <c r="G66" s="109"/>
      <c r="H66" s="109"/>
      <c r="I66" s="109"/>
      <c r="J66" s="109"/>
      <c r="K66" s="109"/>
      <c r="L66" s="109"/>
    </row>
    <row r="67" spans="1:12" ht="5.0999999999999996" customHeight="1">
      <c r="A67" s="109"/>
      <c r="B67" s="109"/>
      <c r="C67" s="109"/>
      <c r="D67" s="109"/>
      <c r="E67" s="109"/>
      <c r="F67" s="109"/>
      <c r="G67" s="109"/>
      <c r="H67" s="109"/>
      <c r="I67" s="109"/>
      <c r="J67" s="109"/>
      <c r="K67" s="109"/>
      <c r="L67" s="109"/>
    </row>
    <row r="68" spans="1:12" ht="5.0999999999999996" customHeight="1">
      <c r="A68" s="109"/>
      <c r="B68" s="109"/>
      <c r="C68" s="109"/>
      <c r="D68" s="109"/>
      <c r="E68" s="109"/>
      <c r="F68" s="109"/>
      <c r="G68" s="109"/>
      <c r="H68" s="109"/>
      <c r="I68" s="109"/>
      <c r="J68" s="109"/>
      <c r="K68" s="109"/>
      <c r="L68" s="109"/>
    </row>
    <row r="69" spans="1:12" ht="5.0999999999999996" customHeight="1">
      <c r="A69" s="109"/>
      <c r="B69" s="109"/>
      <c r="C69" s="109"/>
      <c r="D69" s="109"/>
      <c r="E69" s="109"/>
      <c r="F69" s="109"/>
      <c r="G69" s="109"/>
      <c r="H69" s="109"/>
      <c r="I69" s="109"/>
      <c r="J69" s="109"/>
      <c r="K69" s="109"/>
      <c r="L69" s="109"/>
    </row>
    <row r="70" spans="1:12" ht="5.0999999999999996" customHeight="1">
      <c r="A70" s="109"/>
      <c r="B70" s="109"/>
      <c r="C70" s="109"/>
      <c r="D70" s="109"/>
      <c r="E70" s="109"/>
      <c r="F70" s="109"/>
      <c r="G70" s="109"/>
      <c r="H70" s="109"/>
      <c r="I70" s="109"/>
      <c r="J70" s="109"/>
      <c r="K70" s="109"/>
      <c r="L70" s="109"/>
    </row>
    <row r="71" spans="1:12" ht="5.0999999999999996" customHeight="1">
      <c r="A71" s="109"/>
      <c r="B71" s="109"/>
      <c r="C71" s="109"/>
      <c r="D71" s="109"/>
      <c r="E71" s="109"/>
      <c r="F71" s="109"/>
      <c r="G71" s="109"/>
      <c r="H71" s="109"/>
      <c r="I71" s="109"/>
      <c r="J71" s="109"/>
      <c r="K71" s="109"/>
      <c r="L71" s="109"/>
    </row>
    <row r="72" spans="1:12" ht="5.0999999999999996" customHeight="1">
      <c r="A72" s="109" t="s">
        <v>76</v>
      </c>
      <c r="B72" s="109"/>
      <c r="C72" s="109"/>
      <c r="D72" s="109"/>
      <c r="E72" s="109"/>
      <c r="F72" s="109"/>
      <c r="G72" s="109"/>
      <c r="H72" s="109"/>
      <c r="I72" s="109"/>
      <c r="J72" s="109"/>
      <c r="K72" s="109"/>
      <c r="L72" s="109"/>
    </row>
    <row r="73" spans="1:12" ht="5.0999999999999996" customHeight="1">
      <c r="A73" s="109"/>
      <c r="B73" s="109"/>
      <c r="C73" s="109"/>
      <c r="D73" s="109"/>
      <c r="E73" s="109"/>
      <c r="F73" s="109"/>
      <c r="G73" s="109"/>
      <c r="H73" s="109"/>
      <c r="I73" s="109"/>
      <c r="J73" s="109"/>
      <c r="K73" s="109"/>
      <c r="L73" s="109"/>
    </row>
    <row r="74" spans="1:12" ht="5.0999999999999996" customHeight="1">
      <c r="A74" s="109"/>
      <c r="B74" s="109"/>
      <c r="C74" s="109"/>
      <c r="D74" s="109"/>
      <c r="E74" s="109"/>
      <c r="F74" s="109"/>
      <c r="G74" s="109"/>
      <c r="H74" s="109"/>
      <c r="I74" s="109"/>
      <c r="J74" s="109"/>
      <c r="K74" s="109"/>
      <c r="L74" s="109"/>
    </row>
    <row r="75" spans="1:12" ht="5.0999999999999996" customHeight="1">
      <c r="A75" s="109"/>
      <c r="B75" s="109"/>
      <c r="C75" s="109"/>
      <c r="D75" s="109"/>
      <c r="E75" s="109"/>
      <c r="F75" s="109"/>
      <c r="G75" s="109"/>
      <c r="H75" s="109"/>
      <c r="I75" s="109"/>
      <c r="J75" s="109"/>
      <c r="K75" s="109"/>
      <c r="L75" s="109"/>
    </row>
    <row r="76" spans="1:12" ht="5.0999999999999996" customHeight="1">
      <c r="A76" s="109"/>
      <c r="B76" s="109"/>
      <c r="C76" s="109"/>
      <c r="D76" s="109"/>
      <c r="E76" s="109"/>
      <c r="F76" s="109"/>
      <c r="G76" s="109"/>
      <c r="H76" s="109"/>
      <c r="I76" s="109"/>
      <c r="J76" s="109"/>
      <c r="K76" s="109"/>
      <c r="L76" s="109"/>
    </row>
    <row r="77" spans="1:12" ht="5.0999999999999996" customHeight="1">
      <c r="A77" s="109"/>
      <c r="B77" s="109"/>
      <c r="C77" s="109"/>
      <c r="D77" s="109"/>
      <c r="E77" s="109"/>
      <c r="F77" s="109"/>
      <c r="G77" s="109"/>
      <c r="H77" s="109"/>
      <c r="I77" s="109"/>
      <c r="J77" s="109"/>
      <c r="K77" s="109"/>
      <c r="L77" s="109"/>
    </row>
    <row r="78" spans="1:12" ht="5.0999999999999996" customHeight="1">
      <c r="A78" s="109"/>
      <c r="B78" s="109"/>
      <c r="C78" s="109"/>
      <c r="D78" s="109"/>
      <c r="E78" s="109"/>
      <c r="F78" s="109"/>
      <c r="G78" s="109"/>
      <c r="H78" s="109"/>
      <c r="I78" s="109"/>
      <c r="J78" s="109"/>
      <c r="K78" s="109"/>
      <c r="L78" s="109"/>
    </row>
    <row r="79" spans="1:12" ht="5.0999999999999996" customHeight="1">
      <c r="A79" s="109"/>
      <c r="B79" s="109"/>
      <c r="C79" s="109"/>
      <c r="D79" s="109"/>
      <c r="E79" s="109"/>
      <c r="F79" s="109"/>
      <c r="G79" s="109"/>
      <c r="H79" s="109"/>
      <c r="I79" s="109"/>
      <c r="J79" s="109"/>
      <c r="K79" s="109"/>
      <c r="L79" s="109"/>
    </row>
    <row r="80" spans="1:12" ht="5.0999999999999996" customHeight="1">
      <c r="A80" s="109"/>
      <c r="B80" s="109"/>
      <c r="C80" s="109"/>
      <c r="D80" s="109"/>
      <c r="E80" s="109"/>
      <c r="F80" s="109"/>
      <c r="G80" s="109"/>
      <c r="H80" s="109"/>
      <c r="I80" s="109"/>
      <c r="J80" s="109"/>
      <c r="K80" s="109"/>
      <c r="L80" s="109"/>
    </row>
    <row r="81" spans="1:12" ht="5.0999999999999996" customHeight="1">
      <c r="A81" s="109"/>
      <c r="B81" s="109"/>
      <c r="C81" s="109"/>
      <c r="D81" s="109"/>
      <c r="E81" s="109"/>
      <c r="F81" s="109"/>
      <c r="G81" s="109"/>
      <c r="H81" s="109"/>
      <c r="I81" s="109"/>
      <c r="J81" s="109"/>
      <c r="K81" s="109"/>
      <c r="L81" s="109"/>
    </row>
    <row r="82" spans="1:12" ht="5.0999999999999996" customHeight="1">
      <c r="A82" s="109"/>
      <c r="B82" s="109"/>
      <c r="C82" s="109"/>
      <c r="D82" s="109"/>
      <c r="E82" s="109"/>
      <c r="F82" s="109"/>
      <c r="G82" s="109"/>
      <c r="H82" s="109"/>
      <c r="I82" s="109"/>
      <c r="J82" s="109"/>
      <c r="K82" s="109"/>
      <c r="L82" s="109"/>
    </row>
    <row r="83" spans="1:12" ht="5.0999999999999996" customHeight="1">
      <c r="A83" s="109"/>
      <c r="B83" s="109"/>
      <c r="C83" s="109"/>
      <c r="D83" s="109"/>
      <c r="E83" s="109"/>
      <c r="F83" s="109"/>
      <c r="G83" s="109"/>
      <c r="H83" s="109"/>
      <c r="I83" s="109"/>
      <c r="J83" s="109"/>
      <c r="K83" s="109"/>
      <c r="L83" s="109"/>
    </row>
    <row r="84" spans="1:12" ht="5.0999999999999996" customHeight="1">
      <c r="A84" s="109"/>
      <c r="B84" s="109"/>
      <c r="C84" s="109"/>
      <c r="D84" s="109"/>
      <c r="E84" s="109"/>
      <c r="F84" s="109"/>
      <c r="G84" s="109"/>
      <c r="H84" s="109"/>
      <c r="I84" s="109"/>
      <c r="J84" s="109"/>
      <c r="K84" s="109"/>
      <c r="L84" s="109"/>
    </row>
    <row r="85" spans="1:12" ht="5.0999999999999996" customHeight="1">
      <c r="A85" s="109"/>
      <c r="B85" s="109"/>
      <c r="C85" s="109"/>
      <c r="D85" s="109"/>
      <c r="E85" s="109"/>
      <c r="F85" s="109"/>
      <c r="G85" s="109"/>
      <c r="H85" s="109"/>
      <c r="I85" s="109"/>
      <c r="J85" s="109"/>
      <c r="K85" s="109"/>
      <c r="L85" s="109"/>
    </row>
    <row r="86" spans="1:12" ht="5.0999999999999996" customHeight="1">
      <c r="A86" s="109"/>
      <c r="B86" s="109"/>
      <c r="C86" s="109"/>
      <c r="D86" s="109"/>
      <c r="E86" s="109"/>
      <c r="F86" s="109"/>
      <c r="G86" s="109"/>
      <c r="H86" s="109"/>
      <c r="I86" s="109"/>
      <c r="J86" s="109"/>
      <c r="K86" s="109"/>
      <c r="L86" s="109"/>
    </row>
    <row r="87" spans="1:12" ht="5.0999999999999996" customHeight="1">
      <c r="A87" s="109"/>
      <c r="B87" s="109"/>
      <c r="C87" s="109"/>
      <c r="D87" s="109"/>
      <c r="E87" s="109"/>
      <c r="F87" s="109"/>
      <c r="G87" s="109"/>
      <c r="H87" s="109"/>
      <c r="I87" s="109"/>
      <c r="J87" s="109"/>
      <c r="K87" s="109"/>
      <c r="L87" s="109"/>
    </row>
    <row r="88" spans="1:12" ht="5.0999999999999996" customHeight="1">
      <c r="A88" s="109"/>
      <c r="B88" s="109"/>
      <c r="C88" s="109"/>
      <c r="D88" s="109"/>
      <c r="E88" s="109"/>
      <c r="F88" s="109"/>
      <c r="G88" s="109"/>
      <c r="H88" s="109"/>
      <c r="I88" s="109"/>
      <c r="J88" s="109"/>
      <c r="K88" s="109"/>
      <c r="L88" s="109"/>
    </row>
    <row r="89" spans="1:12" ht="5.0999999999999996" customHeight="1">
      <c r="A89" s="109"/>
      <c r="B89" s="109"/>
      <c r="C89" s="109"/>
      <c r="D89" s="109"/>
      <c r="E89" s="109"/>
      <c r="F89" s="109"/>
      <c r="G89" s="109"/>
      <c r="H89" s="109"/>
      <c r="I89" s="109"/>
      <c r="J89" s="109"/>
      <c r="K89" s="109"/>
      <c r="L89" s="109"/>
    </row>
    <row r="90" spans="1:12" ht="5.0999999999999996" customHeight="1">
      <c r="A90" s="109"/>
      <c r="B90" s="109"/>
      <c r="C90" s="109"/>
      <c r="D90" s="109"/>
      <c r="E90" s="109"/>
      <c r="F90" s="109"/>
      <c r="G90" s="109"/>
      <c r="H90" s="109"/>
      <c r="I90" s="109"/>
      <c r="J90" s="109"/>
      <c r="K90" s="109"/>
      <c r="L90" s="109"/>
    </row>
    <row r="91" spans="1:12" ht="5.0999999999999996" customHeight="1">
      <c r="A91" s="109"/>
      <c r="B91" s="109"/>
      <c r="C91" s="109"/>
      <c r="D91" s="109"/>
      <c r="E91" s="109"/>
      <c r="F91" s="109"/>
      <c r="G91" s="109"/>
      <c r="H91" s="109"/>
      <c r="I91" s="109"/>
      <c r="J91" s="109"/>
      <c r="K91" s="109"/>
      <c r="L91" s="109"/>
    </row>
    <row r="92" spans="1:12" ht="5.0999999999999996" customHeight="1">
      <c r="A92" s="109"/>
      <c r="B92" s="109"/>
      <c r="C92" s="109"/>
      <c r="D92" s="109"/>
      <c r="E92" s="109"/>
      <c r="F92" s="109"/>
      <c r="G92" s="109"/>
      <c r="H92" s="109"/>
      <c r="I92" s="109"/>
      <c r="J92" s="109"/>
      <c r="K92" s="109"/>
      <c r="L92" s="109"/>
    </row>
    <row r="93" spans="1:12" ht="5.0999999999999996" customHeight="1">
      <c r="A93" s="109"/>
      <c r="B93" s="109"/>
      <c r="C93" s="109"/>
      <c r="D93" s="109"/>
      <c r="E93" s="109"/>
      <c r="F93" s="109"/>
      <c r="G93" s="109"/>
      <c r="H93" s="109"/>
      <c r="I93" s="109"/>
      <c r="J93" s="109"/>
      <c r="K93" s="109"/>
      <c r="L93" s="109"/>
    </row>
    <row r="94" spans="1:12" ht="5.0999999999999996" customHeight="1">
      <c r="A94" s="109"/>
      <c r="B94" s="109"/>
      <c r="C94" s="109"/>
      <c r="D94" s="109"/>
      <c r="E94" s="109"/>
      <c r="F94" s="109"/>
      <c r="G94" s="109"/>
      <c r="H94" s="109"/>
      <c r="I94" s="109"/>
      <c r="J94" s="109"/>
      <c r="K94" s="109"/>
      <c r="L94" s="109"/>
    </row>
    <row r="95" spans="1:12" ht="5.0999999999999996" customHeight="1">
      <c r="A95" s="109"/>
      <c r="B95" s="109"/>
      <c r="C95" s="109"/>
      <c r="D95" s="109"/>
      <c r="E95" s="109"/>
      <c r="F95" s="109"/>
      <c r="G95" s="109"/>
      <c r="H95" s="109"/>
      <c r="I95" s="109"/>
      <c r="J95" s="109"/>
      <c r="K95" s="109"/>
      <c r="L95" s="109"/>
    </row>
    <row r="96" spans="1:12" ht="5.0999999999999996" customHeight="1">
      <c r="A96" s="109"/>
      <c r="B96" s="109"/>
      <c r="C96" s="109"/>
      <c r="D96" s="109"/>
      <c r="E96" s="109"/>
      <c r="F96" s="109"/>
      <c r="G96" s="109"/>
      <c r="H96" s="109"/>
      <c r="I96" s="109"/>
      <c r="J96" s="109"/>
      <c r="K96" s="109"/>
      <c r="L96" s="109"/>
    </row>
    <row r="97" spans="1:12" ht="5.0999999999999996" customHeight="1">
      <c r="A97" s="109"/>
      <c r="B97" s="109"/>
      <c r="C97" s="109"/>
      <c r="D97" s="109"/>
      <c r="E97" s="109"/>
      <c r="F97" s="109"/>
      <c r="G97" s="109"/>
      <c r="H97" s="109"/>
      <c r="I97" s="109"/>
      <c r="J97" s="109"/>
      <c r="K97" s="109"/>
      <c r="L97" s="109"/>
    </row>
    <row r="98" spans="1:12" ht="5.0999999999999996" customHeight="1">
      <c r="A98" s="109"/>
      <c r="B98" s="109"/>
      <c r="C98" s="109"/>
      <c r="D98" s="109"/>
      <c r="E98" s="109"/>
      <c r="F98" s="109"/>
      <c r="G98" s="109"/>
      <c r="H98" s="109"/>
      <c r="I98" s="109"/>
      <c r="J98" s="109"/>
      <c r="K98" s="109"/>
      <c r="L98" s="109"/>
    </row>
    <row r="99" spans="1:12" ht="5.0999999999999996" customHeight="1">
      <c r="A99" s="109"/>
      <c r="B99" s="109"/>
      <c r="C99" s="109"/>
      <c r="D99" s="109"/>
      <c r="E99" s="109"/>
      <c r="F99" s="109"/>
      <c r="G99" s="109"/>
      <c r="H99" s="109"/>
      <c r="I99" s="109"/>
      <c r="J99" s="109"/>
      <c r="K99" s="109"/>
      <c r="L99" s="109"/>
    </row>
    <row r="100" spans="1:12" ht="5.0999999999999996" customHeight="1">
      <c r="A100" s="109"/>
      <c r="B100" s="109"/>
      <c r="C100" s="109"/>
      <c r="D100" s="109"/>
      <c r="E100" s="109"/>
      <c r="F100" s="109"/>
      <c r="G100" s="109"/>
      <c r="H100" s="109"/>
      <c r="I100" s="109"/>
      <c r="J100" s="109"/>
      <c r="K100" s="109"/>
      <c r="L100" s="109"/>
    </row>
    <row r="101" spans="1:12" ht="5.0999999999999996" customHeight="1">
      <c r="A101" s="109"/>
      <c r="B101" s="109"/>
      <c r="C101" s="109"/>
      <c r="D101" s="109"/>
      <c r="E101" s="109"/>
      <c r="F101" s="109"/>
      <c r="G101" s="109"/>
      <c r="H101" s="109"/>
      <c r="I101" s="109"/>
      <c r="J101" s="109"/>
      <c r="K101" s="109"/>
      <c r="L101" s="109"/>
    </row>
    <row r="102" spans="1:12" ht="5.0999999999999996" customHeight="1">
      <c r="A102" s="109"/>
      <c r="B102" s="109"/>
      <c r="C102" s="109"/>
      <c r="D102" s="109"/>
      <c r="E102" s="109"/>
      <c r="F102" s="109"/>
      <c r="G102" s="109"/>
      <c r="H102" s="109"/>
      <c r="I102" s="109"/>
      <c r="J102" s="109"/>
      <c r="K102" s="109"/>
      <c r="L102" s="109"/>
    </row>
  </sheetData>
  <sheetProtection algorithmName="SHA-512" hashValue="hqMvPxGHjjQSPgWRUlZlOLVa2uMp+YSPVtkDZeFFom0uJltogBdqbAXfqYItyJnwr2abFYM7VVqj8nuoV4wuPw==" saltValue="c1HkvV0QjmeXe6tiHdVfsw==" spinCount="100000" sheet="1" objects="1" scenarios="1"/>
  <mergeCells count="4">
    <mergeCell ref="A1:L25"/>
    <mergeCell ref="A26:L48"/>
    <mergeCell ref="A49:L71"/>
    <mergeCell ref="A72:L102"/>
  </mergeCells>
  <phoneticPr fontId="1" type="noConversion"/>
  <pageMargins left="0.75" right="0.75" top="1" bottom="1" header="0.5" footer="0.5"/>
  <pageSetup scale="92"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6">
    <pageSetUpPr fitToPage="1"/>
  </sheetPr>
  <dimension ref="A1:CG96"/>
  <sheetViews>
    <sheetView showGridLines="0" showRowColHeaders="0" tabSelected="1" defaultGridColor="0" colorId="22" zoomScale="90" zoomScaleNormal="90" workbookViewId="0"/>
  </sheetViews>
  <sheetFormatPr defaultColWidth="11.44140625" defaultRowHeight="15"/>
  <cols>
    <col min="1" max="1" width="15.33203125" customWidth="1"/>
    <col min="2" max="2" width="12.44140625" customWidth="1"/>
    <col min="3" max="3" width="3.109375" customWidth="1"/>
    <col min="4" max="4" width="12.5546875" customWidth="1"/>
    <col min="5" max="5" width="11.44140625" customWidth="1"/>
    <col min="6" max="6" width="13.77734375" customWidth="1"/>
    <col min="7" max="7" width="6.88671875" style="1" customWidth="1"/>
    <col min="8" max="8" width="30.109375" bestFit="1" customWidth="1"/>
    <col min="9" max="10" width="12.21875" customWidth="1"/>
    <col min="11" max="11" width="12.5546875" customWidth="1"/>
    <col min="12" max="12" width="13.88671875" style="57" customWidth="1"/>
    <col min="13" max="30" width="11.44140625" hidden="1" customWidth="1"/>
    <col min="31" max="31" width="11.44140625" customWidth="1"/>
    <col min="32" max="32" width="5.44140625" style="63" customWidth="1"/>
    <col min="33" max="33" width="12.5546875" style="63" customWidth="1"/>
    <col min="34" max="34" width="11.44140625" style="63" hidden="1" customWidth="1"/>
    <col min="35" max="35" width="15.21875" hidden="1" customWidth="1"/>
    <col min="36" max="36" width="10.21875" hidden="1" customWidth="1"/>
    <col min="37" max="37" width="16.21875" hidden="1" customWidth="1"/>
    <col min="38" max="85" width="11.44140625" hidden="1" customWidth="1"/>
  </cols>
  <sheetData>
    <row r="1" spans="1:46" s="2" customFormat="1" ht="35.25" customHeight="1" thickTop="1" thickBot="1">
      <c r="A1" s="53" t="s">
        <v>80</v>
      </c>
      <c r="B1" s="2" t="s">
        <v>82</v>
      </c>
      <c r="D1" s="102" t="str">
        <f>CONCATENATE("RANDOM CORE SAMPLES version ",TEXT(AI1,"0.00"))</f>
        <v>RANDOM CORE SAMPLES version 2.00</v>
      </c>
      <c r="E1" s="58"/>
      <c r="F1" s="58"/>
      <c r="G1" s="3"/>
      <c r="L1" s="54"/>
      <c r="O1" s="97"/>
      <c r="T1" s="2" t="s">
        <v>108</v>
      </c>
      <c r="U1" s="2">
        <f ca="1">IF(SUM(AB3:AB34)&lt;AI2,1,0)</f>
        <v>1</v>
      </c>
      <c r="V1" s="2" t="s">
        <v>109</v>
      </c>
      <c r="AH1" s="2" t="s">
        <v>86</v>
      </c>
      <c r="AI1" s="2">
        <v>2</v>
      </c>
      <c r="AN1" s="2" t="s">
        <v>123</v>
      </c>
      <c r="AO1" s="2" t="s">
        <v>88</v>
      </c>
      <c r="AP1" s="2" t="s">
        <v>80</v>
      </c>
      <c r="AQ1" s="2" t="s">
        <v>94</v>
      </c>
      <c r="AR1" s="2" t="s">
        <v>94</v>
      </c>
      <c r="AS1" s="2" t="s">
        <v>94</v>
      </c>
      <c r="AT1" s="2" t="s">
        <v>94</v>
      </c>
    </row>
    <row r="2" spans="1:46" s="2" customFormat="1" ht="18.75" customHeight="1" thickTop="1">
      <c r="D2" s="2" t="s">
        <v>79</v>
      </c>
      <c r="G2" s="3"/>
      <c r="L2" s="68"/>
      <c r="O2" s="2" t="s">
        <v>83</v>
      </c>
      <c r="P2" s="2" t="s">
        <v>84</v>
      </c>
      <c r="Q2" s="2" t="s">
        <v>85</v>
      </c>
      <c r="S2" s="2" t="s">
        <v>111</v>
      </c>
      <c r="T2" s="2" t="s">
        <v>104</v>
      </c>
      <c r="U2" s="2" t="s">
        <v>96</v>
      </c>
      <c r="V2" s="2" t="s">
        <v>105</v>
      </c>
      <c r="W2" s="2" t="s">
        <v>106</v>
      </c>
      <c r="X2" s="2" t="s">
        <v>107</v>
      </c>
      <c r="Y2" s="2" t="s">
        <v>53</v>
      </c>
      <c r="AA2" s="2" t="s">
        <v>110</v>
      </c>
      <c r="AC2" s="99"/>
      <c r="AH2" s="61" t="s">
        <v>116</v>
      </c>
      <c r="AI2" s="2">
        <f>IF(L19&gt;=3*F20,3,IF(L19&gt;=2*F20,2,0))</f>
        <v>3</v>
      </c>
      <c r="AN2" s="2" t="s">
        <v>124</v>
      </c>
      <c r="AO2" s="2" t="s">
        <v>89</v>
      </c>
      <c r="AP2" s="2" t="s">
        <v>81</v>
      </c>
      <c r="AQ2" s="2" t="str">
        <f>CONCATENATE("Full (",TEXT(ABS(D11),"0,0")," ft) Joint Created")</f>
        <v>Full (00 ft) Joint Created</v>
      </c>
      <c r="AR2" s="2" t="str">
        <f>CONCATENATE("Full (",TEXT(ABS(D13),"0,0")," ft) Joint Created")</f>
        <v>Full (00 ft) Joint Created</v>
      </c>
      <c r="AS2" s="2" t="str">
        <f>CONCATENATE("Full (",TEXT(ABS(D15),"0,0")," ft) Joint Created")</f>
        <v>Full (00 ft) Joint Created</v>
      </c>
      <c r="AT2" s="2" t="str">
        <f>CONCATENATE("Full (",TEXT(ABS(D17),"0,0")," ft) Joint Created")</f>
        <v>Full (00 ft) Joint Created</v>
      </c>
    </row>
    <row r="3" spans="1:46" s="2" customFormat="1" ht="18">
      <c r="A3" s="119" t="str">
        <f>IF(J6&gt;0,CONCATENATE("For Class I Compaction, only the quantity within the ",TEXT(J6,"0.0")," ft area is included for a PWL field voids lot"),"")</f>
        <v/>
      </c>
      <c r="B3" s="119"/>
      <c r="C3" s="119"/>
      <c r="D3" s="119"/>
      <c r="E3" s="119"/>
      <c r="F3" s="119"/>
      <c r="G3" s="119"/>
      <c r="H3" s="119"/>
      <c r="I3" s="119"/>
      <c r="J3" s="119"/>
      <c r="K3" s="119"/>
      <c r="L3" s="68"/>
      <c r="M3" s="2">
        <v>1</v>
      </c>
      <c r="N3" s="54">
        <f>F11</f>
        <v>0</v>
      </c>
      <c r="O3" s="55" t="str">
        <f>D11</f>
        <v/>
      </c>
      <c r="P3" s="55">
        <f>A11</f>
        <v>0</v>
      </c>
      <c r="Q3" s="55">
        <f>B11</f>
        <v>0</v>
      </c>
      <c r="R3" s="55">
        <f>M3</f>
        <v>1</v>
      </c>
      <c r="S3" s="55">
        <v>1</v>
      </c>
      <c r="T3" s="2">
        <v>1</v>
      </c>
      <c r="U3" s="2" t="e">
        <f>IF(T3&lt;=N$3,O$3/N$3,IF(T3&lt;=N$4,O$4/(N$4-M$4+1),IF(T3&lt;=N$5,O$5/(N$5-M$5+1),O$6/(N$6-M$6+1))))</f>
        <v>#DIV/0!</v>
      </c>
      <c r="V3" s="2">
        <f>IF(T3&lt;=N$3,P$3,IF(T3&lt;=N$4,P$4,IF(T3&lt;=N$5,P$5,P$6)))</f>
        <v>0</v>
      </c>
      <c r="W3" s="2">
        <f>IF(T3&lt;=N$3,Q$3,IF(T3&lt;=N$4,Q$4,IF(T3&lt;=N$5,Q$5,Q$6)))</f>
        <v>0</v>
      </c>
      <c r="X3" s="2">
        <f>IF(T3&lt;=N$3,R$3,IF(T3&lt;=N$4,R$4,IF(T3&lt;=N$5,R$5,R$6)))</f>
        <v>1</v>
      </c>
      <c r="Y3" s="2">
        <f ca="1">OFFSET(S$10,OFFSET($S$2,MATCH($X3,$M$3:$M$6,0),0),0)</f>
        <v>0</v>
      </c>
      <c r="AA3" s="2">
        <f ca="1">IF(AB3=0,0,COUNTIF(AB$2:AB3,"&gt;0"))</f>
        <v>0</v>
      </c>
      <c r="AB3" s="2">
        <f ca="1">IF(COUNTIF(CD$22:CG$25,T3)&gt;0,1,0)</f>
        <v>0</v>
      </c>
      <c r="AC3" s="2">
        <f ca="1">IF(AD3=0,0,COUNTIF(AD$2:AD3,"&gt;0"))</f>
        <v>0</v>
      </c>
      <c r="AD3" s="2">
        <f ca="1">IF(COUNTIF(CD$28:CG$31,T3)&gt;0,1,0)</f>
        <v>0</v>
      </c>
      <c r="AF3" s="61"/>
      <c r="AG3" s="61"/>
      <c r="AH3" s="61"/>
      <c r="AN3" s="2" t="s">
        <v>125</v>
      </c>
      <c r="AQ3" s="2" t="str">
        <f>CONCATENATE("Partial (&lt;",TEXT(ABS(D11),"0,0")," ft)  Joint Created")</f>
        <v>Partial (&lt;00 ft)  Joint Created</v>
      </c>
      <c r="AR3" s="2" t="str">
        <f>CONCATENATE("Partial (&lt;",TEXT(ABS(D13),"0,0")," ft)  Joint Created")</f>
        <v>Partial (&lt;00 ft)  Joint Created</v>
      </c>
      <c r="AS3" s="2" t="str">
        <f>CONCATENATE("Partial (&lt;",TEXT(ABS(D15),"0,0")," ft)  Joint Created")</f>
        <v>Partial (&lt;00 ft)  Joint Created</v>
      </c>
      <c r="AT3" s="2" t="str">
        <f>CONCATENATE("Partial (&lt;",TEXT(ABS(D17),"0,0")," ft)  Joint Created")</f>
        <v>Partial (&lt;00 ft)  Joint Created</v>
      </c>
    </row>
    <row r="4" spans="1:46" s="2" customFormat="1" ht="36" customHeight="1">
      <c r="A4" s="4" t="s">
        <v>23</v>
      </c>
      <c r="B4" s="120"/>
      <c r="C4" s="120"/>
      <c r="D4" s="120"/>
      <c r="E4" s="120"/>
      <c r="I4" s="4" t="s">
        <v>3</v>
      </c>
      <c r="J4" s="31"/>
      <c r="K4" s="2" t="s">
        <v>20</v>
      </c>
      <c r="M4" s="54">
        <f>N3+1</f>
        <v>1</v>
      </c>
      <c r="N4" s="54">
        <f>F13+M4-1</f>
        <v>0</v>
      </c>
      <c r="O4" s="55" t="str">
        <f>D13</f>
        <v/>
      </c>
      <c r="P4" s="55">
        <f>A13</f>
        <v>0</v>
      </c>
      <c r="Q4" s="55">
        <f>B13</f>
        <v>0</v>
      </c>
      <c r="R4" s="55">
        <f>M4</f>
        <v>1</v>
      </c>
      <c r="S4" s="55">
        <v>2</v>
      </c>
      <c r="T4" s="2">
        <f>1+T3</f>
        <v>2</v>
      </c>
      <c r="U4" s="2" t="e">
        <f>IF(T4&lt;=N$3,O$3/N$3,IF(T4&lt;=N$4,O$4/(N$4-M$4+1),IF(T4&lt;=N$5,O$5/(N$5-M$5+1),O$6/(N$6-M$6+1))))</f>
        <v>#DIV/0!</v>
      </c>
      <c r="V4" s="2">
        <f>IF(T4&lt;=N$3,P$3,IF(T4&lt;=N$4,P$4,IF(T4&lt;=N$5,P$5,P$6)))</f>
        <v>0</v>
      </c>
      <c r="W4" s="2">
        <f t="shared" ref="W4:W34" si="0">IF(T4&lt;=N$3,Q$3,IF(T4&lt;=N$4,Q$4,IF(T4&lt;=N$5,Q$5,Q$6)))</f>
        <v>0</v>
      </c>
      <c r="X4" s="2">
        <f t="shared" ref="X4:X34" si="1">IF(T4&lt;=N$3,R$3,IF(T4&lt;=N$4,R$4,IF(T4&lt;=N$5,R$5,R$6)))</f>
        <v>1</v>
      </c>
      <c r="Y4" s="2">
        <f t="shared" ref="Y4:Y34" ca="1" si="2">OFFSET(S$10,OFFSET($S$2,MATCH($X4,$M$3:$M$6,0),0),0)</f>
        <v>0</v>
      </c>
      <c r="AA4" s="2">
        <f ca="1">IF(AB4=0,0,COUNTIF(AB$2:AB4,"&gt;0"))</f>
        <v>0</v>
      </c>
      <c r="AB4" s="2">
        <f t="shared" ref="AB4:AB34" ca="1" si="3">IF(COUNTIF(CD$22:CG$25,T4)&gt;0,1,0)</f>
        <v>0</v>
      </c>
      <c r="AC4" s="2">
        <f ca="1">IF(AD4=0,0,COUNTIF(AD$2:AD4,"&gt;0"))</f>
        <v>0</v>
      </c>
      <c r="AD4" s="2">
        <f t="shared" ref="AD4:AD34" ca="1" si="4">IF(COUNTIF(CD$28:CG$31,T4)&gt;0,1,0)</f>
        <v>0</v>
      </c>
      <c r="AF4" s="61"/>
      <c r="AG4" s="61"/>
      <c r="AH4" s="61"/>
      <c r="AN4" s="2" t="s">
        <v>126</v>
      </c>
    </row>
    <row r="5" spans="1:46" s="2" customFormat="1" ht="18">
      <c r="A5" s="4"/>
      <c r="F5" s="4"/>
      <c r="I5" s="6"/>
      <c r="J5" s="6"/>
      <c r="K5" s="6"/>
      <c r="L5" s="6"/>
      <c r="M5" s="54">
        <f>N4+1</f>
        <v>1</v>
      </c>
      <c r="N5" s="54">
        <f>F15+M5-1</f>
        <v>0</v>
      </c>
      <c r="O5" s="55" t="str">
        <f>D15</f>
        <v/>
      </c>
      <c r="P5" s="55">
        <f>A15</f>
        <v>0</v>
      </c>
      <c r="Q5" s="55">
        <f>B15</f>
        <v>0</v>
      </c>
      <c r="R5" s="55">
        <f>M5</f>
        <v>1</v>
      </c>
      <c r="S5" s="55">
        <v>3</v>
      </c>
      <c r="T5" s="2">
        <f t="shared" ref="T5:T34" si="5">1+T4</f>
        <v>3</v>
      </c>
      <c r="U5" s="2" t="e">
        <f>IF(T5&lt;=N$3,O$3/N$3,IF(T5&lt;=N$4,O$4/(N$4-M$4+1),IF(T5&lt;=N$5,O$5/(N$5-M$5+1),O$6/(N$6-M$6+1))))</f>
        <v>#DIV/0!</v>
      </c>
      <c r="V5" s="2">
        <f>IF(T5&lt;=N$3,P$3,IF(T5&lt;=N$4,P$4,IF(T5&lt;=N$5,P$5,P$6)))</f>
        <v>0</v>
      </c>
      <c r="W5" s="2">
        <f t="shared" si="0"/>
        <v>0</v>
      </c>
      <c r="X5" s="2">
        <f t="shared" si="1"/>
        <v>1</v>
      </c>
      <c r="Y5" s="2">
        <f t="shared" ca="1" si="2"/>
        <v>0</v>
      </c>
      <c r="AA5" s="2">
        <f ca="1">IF(AB5=0,0,COUNTIF(AB$2:AB5,"&gt;0"))</f>
        <v>0</v>
      </c>
      <c r="AB5" s="2">
        <f t="shared" ca="1" si="3"/>
        <v>0</v>
      </c>
      <c r="AC5" s="2">
        <f ca="1">IF(AD5=0,0,COUNTIF(AD$2:AD5,"&gt;0"))</f>
        <v>0</v>
      </c>
      <c r="AD5" s="2">
        <f t="shared" ca="1" si="4"/>
        <v>0</v>
      </c>
      <c r="AF5" s="61"/>
      <c r="AG5" s="61"/>
      <c r="AH5" s="61"/>
    </row>
    <row r="6" spans="1:46" s="2" customFormat="1" ht="18">
      <c r="A6" s="4" t="s">
        <v>2</v>
      </c>
      <c r="B6" s="120"/>
      <c r="C6" s="120"/>
      <c r="D6" s="120"/>
      <c r="E6" s="120"/>
      <c r="I6" s="4" t="s">
        <v>87</v>
      </c>
      <c r="J6" s="32"/>
      <c r="K6" s="11" t="s">
        <v>19</v>
      </c>
      <c r="L6" s="36" t="s">
        <v>77</v>
      </c>
      <c r="M6" s="54">
        <f>N5+1</f>
        <v>1</v>
      </c>
      <c r="N6" s="54">
        <f>F17+M6-1</f>
        <v>0</v>
      </c>
      <c r="O6" s="55" t="str">
        <f>D17</f>
        <v/>
      </c>
      <c r="P6" s="55">
        <f>A17</f>
        <v>0</v>
      </c>
      <c r="Q6" s="55">
        <f>B17</f>
        <v>0</v>
      </c>
      <c r="R6" s="55">
        <f>M6</f>
        <v>1</v>
      </c>
      <c r="S6" s="55">
        <v>4</v>
      </c>
      <c r="T6" s="2">
        <f t="shared" si="5"/>
        <v>4</v>
      </c>
      <c r="U6" s="2" t="e">
        <f>IF(T6&lt;=N$3,O$3/N$3,IF(T6&lt;=N$4,O$4/(N$4-M$4+1),IF(T6&lt;=N$5,O$5/(N$5-M$5+1),O$6/(N$6-M$6+1))))</f>
        <v>#DIV/0!</v>
      </c>
      <c r="V6" s="2">
        <f>IF(T6&lt;=N$3,P$3,IF(T6&lt;=N$4,P$4,IF(T6&lt;=N$5,P$5,P$6)))</f>
        <v>0</v>
      </c>
      <c r="W6" s="2">
        <f t="shared" si="0"/>
        <v>0</v>
      </c>
      <c r="X6" s="2">
        <f t="shared" si="1"/>
        <v>1</v>
      </c>
      <c r="Y6" s="2">
        <f t="shared" ca="1" si="2"/>
        <v>0</v>
      </c>
      <c r="AA6" s="2">
        <f ca="1">IF(AB6=0,0,COUNTIF(AB$2:AB6,"&gt;0"))</f>
        <v>0</v>
      </c>
      <c r="AB6" s="2">
        <f t="shared" ca="1" si="3"/>
        <v>0</v>
      </c>
      <c r="AC6" s="2">
        <f ca="1">IF(AD6=0,0,COUNTIF(AD$2:AD6,"&gt;0"))</f>
        <v>0</v>
      </c>
      <c r="AD6" s="2">
        <f t="shared" ca="1" si="4"/>
        <v>0</v>
      </c>
      <c r="AJ6" s="65"/>
      <c r="AK6" s="65"/>
    </row>
    <row r="7" spans="1:46" s="2" customFormat="1" ht="17.25" customHeight="1">
      <c r="A7" s="4"/>
      <c r="B7" s="3"/>
      <c r="C7" s="3"/>
      <c r="F7" s="59"/>
      <c r="I7" s="4" t="s">
        <v>90</v>
      </c>
      <c r="J7" s="60"/>
      <c r="K7" s="11" t="s">
        <v>19</v>
      </c>
      <c r="L7" s="36" t="s">
        <v>77</v>
      </c>
      <c r="T7" s="2">
        <f t="shared" si="5"/>
        <v>5</v>
      </c>
      <c r="U7" s="2" t="e">
        <f t="shared" ref="U7:U9" si="6">IF(T7&lt;=N$3,O$3/N$3,IF(T7&lt;=N$4,O$4/(N$4-M$4+1),IF(T7&lt;=N$5,O$5/(N$5-M$5+1),O$6/(N$6-M$6+1))))</f>
        <v>#DIV/0!</v>
      </c>
      <c r="V7" s="2">
        <f>IF(T7&lt;=N$3,P$3,IF(T7&lt;=N$4,P$4,IF(T7&lt;=N$5,P$5,P$6)))</f>
        <v>0</v>
      </c>
      <c r="W7" s="2">
        <f t="shared" si="0"/>
        <v>0</v>
      </c>
      <c r="X7" s="2">
        <f t="shared" si="1"/>
        <v>1</v>
      </c>
      <c r="Y7" s="2">
        <f t="shared" ca="1" si="2"/>
        <v>0</v>
      </c>
      <c r="AA7" s="2">
        <f ca="1">IF(AB7=0,0,COUNTIF(AB$2:AB7,"&gt;0"))</f>
        <v>0</v>
      </c>
      <c r="AB7" s="2">
        <f t="shared" ca="1" si="3"/>
        <v>0</v>
      </c>
      <c r="AC7" s="2">
        <f ca="1">IF(AD7=0,0,COUNTIF(AD$2:AD7,"&gt;0"))</f>
        <v>0</v>
      </c>
      <c r="AD7" s="2">
        <f t="shared" ca="1" si="4"/>
        <v>0</v>
      </c>
      <c r="AI7" s="65"/>
      <c r="AJ7" s="65"/>
      <c r="AK7" s="65"/>
    </row>
    <row r="8" spans="1:46" s="2" customFormat="1" ht="18">
      <c r="A8" s="4" t="s">
        <v>4</v>
      </c>
      <c r="B8" s="121"/>
      <c r="C8" s="121"/>
      <c r="I8" s="4" t="s">
        <v>5</v>
      </c>
      <c r="J8" s="71"/>
      <c r="K8" s="69"/>
      <c r="L8" s="69"/>
      <c r="T8" s="2">
        <f t="shared" si="5"/>
        <v>6</v>
      </c>
      <c r="U8" s="2" t="e">
        <f>IF(T8&lt;=N$3,O$3/N$3,IF(T8&lt;=N$4,O$4/(N$4-M$4+1),IF(T8&lt;=N$5,O$5/(N$5-M$5+1),O$6/(N$6-M$6+1))))</f>
        <v>#DIV/0!</v>
      </c>
      <c r="V8" s="2">
        <f t="shared" ref="V8:V34" si="7">IF(T8&lt;=N$3,P$3,IF(T8&lt;=N$4,P$4,IF(T8&lt;=N$5,P$5,P$6)))</f>
        <v>0</v>
      </c>
      <c r="W8" s="2">
        <f t="shared" si="0"/>
        <v>0</v>
      </c>
      <c r="X8" s="2">
        <f t="shared" si="1"/>
        <v>1</v>
      </c>
      <c r="Y8" s="2">
        <f t="shared" ca="1" si="2"/>
        <v>0</v>
      </c>
      <c r="AA8" s="2">
        <f ca="1">IF(AB8=0,0,COUNTIF(AB$2:AB8,"&gt;0"))</f>
        <v>0</v>
      </c>
      <c r="AB8" s="2">
        <f t="shared" ca="1" si="3"/>
        <v>0</v>
      </c>
      <c r="AC8" s="2">
        <f ca="1">IF(AD8=0,0,COUNTIF(AD$2:AD8,"&gt;0"))</f>
        <v>0</v>
      </c>
      <c r="AD8" s="2">
        <f t="shared" ca="1" si="4"/>
        <v>0</v>
      </c>
      <c r="AI8" s="65"/>
      <c r="AJ8" s="65"/>
      <c r="AK8" s="65"/>
    </row>
    <row r="9" spans="1:46" s="2" customFormat="1" ht="44.25" customHeight="1">
      <c r="A9" s="123" t="s">
        <v>92</v>
      </c>
      <c r="B9" s="124"/>
      <c r="C9" s="124"/>
      <c r="D9" s="124"/>
      <c r="E9" s="124"/>
      <c r="F9" s="125"/>
      <c r="G9" s="123" t="s">
        <v>93</v>
      </c>
      <c r="H9" s="124"/>
      <c r="I9" s="124"/>
      <c r="J9" s="124"/>
      <c r="K9" s="124"/>
      <c r="L9" s="125"/>
      <c r="T9" s="2">
        <f t="shared" si="5"/>
        <v>7</v>
      </c>
      <c r="U9" s="2" t="e">
        <f t="shared" si="6"/>
        <v>#DIV/0!</v>
      </c>
      <c r="V9" s="2">
        <f t="shared" si="7"/>
        <v>0</v>
      </c>
      <c r="W9" s="2">
        <f t="shared" si="0"/>
        <v>0</v>
      </c>
      <c r="X9" s="2">
        <f t="shared" si="1"/>
        <v>1</v>
      </c>
      <c r="Y9" s="2">
        <f t="shared" ca="1" si="2"/>
        <v>0</v>
      </c>
      <c r="AA9" s="2">
        <f ca="1">IF(AB9=0,0,COUNTIF(AB$2:AB9,"&gt;0"))</f>
        <v>0</v>
      </c>
      <c r="AB9" s="2">
        <f t="shared" ca="1" si="3"/>
        <v>0</v>
      </c>
      <c r="AC9" s="2">
        <f ca="1">IF(AD9=0,0,COUNTIF(AD$2:AD9,"&gt;0"))</f>
        <v>0</v>
      </c>
      <c r="AD9" s="2">
        <f t="shared" ca="1" si="4"/>
        <v>0</v>
      </c>
      <c r="AI9" s="65"/>
      <c r="AJ9" s="70"/>
      <c r="AK9" s="70"/>
    </row>
    <row r="10" spans="1:46" s="2" customFormat="1" ht="72" customHeight="1">
      <c r="A10" s="76" t="str">
        <f>CONCATENATE("From ",UPPER($A$1))</f>
        <v>From STATION</v>
      </c>
      <c r="B10" s="87" t="str">
        <f>CONCATENATE("To ",UPPER($A$1))</f>
        <v>To STATION</v>
      </c>
      <c r="C10" s="88"/>
      <c r="D10" s="89" t="str">
        <f>CONCATENATE("Length (",IF($A$1="Mile Post","Mi)","L.F.)"))</f>
        <v>Length (L.F.)</v>
      </c>
      <c r="E10" s="66" t="s">
        <v>91</v>
      </c>
      <c r="F10" s="74" t="s">
        <v>95</v>
      </c>
      <c r="G10" s="72"/>
      <c r="H10" s="73" t="s">
        <v>120</v>
      </c>
      <c r="I10" s="73" t="str">
        <f>A10</f>
        <v>From STATION</v>
      </c>
      <c r="J10" s="73" t="str">
        <f>B10</f>
        <v>To STATION</v>
      </c>
      <c r="K10" s="74" t="str">
        <f>CONCATENATE("Length (",IF($A$1="Mile Post","Mi)","L.F.)"))</f>
        <v>Length (L.F.)</v>
      </c>
      <c r="L10" s="96" t="s">
        <v>100</v>
      </c>
      <c r="N10" s="2" t="s">
        <v>101</v>
      </c>
      <c r="O10" s="2" t="s">
        <v>102</v>
      </c>
      <c r="P10" s="2" t="s">
        <v>83</v>
      </c>
      <c r="Q10" s="2" t="s">
        <v>117</v>
      </c>
      <c r="R10" s="2" t="s">
        <v>118</v>
      </c>
      <c r="S10" s="2" t="s">
        <v>121</v>
      </c>
      <c r="T10" s="2">
        <f t="shared" si="5"/>
        <v>8</v>
      </c>
      <c r="U10" s="2" t="e">
        <f>IF(T10&lt;=N$3,O$3/N$3,IF(T10&lt;=N$4,O$4/(N$4-M$4+1),IF(T10&lt;=N$5,O$5/(N$5-M$5+1),O$6/(N$6-M$6+1))))</f>
        <v>#DIV/0!</v>
      </c>
      <c r="V10" s="2">
        <f t="shared" si="7"/>
        <v>0</v>
      </c>
      <c r="W10" s="2">
        <f t="shared" si="0"/>
        <v>0</v>
      </c>
      <c r="X10" s="2">
        <f t="shared" si="1"/>
        <v>1</v>
      </c>
      <c r="Y10" s="2">
        <f t="shared" ca="1" si="2"/>
        <v>0</v>
      </c>
      <c r="AA10" s="2">
        <f ca="1">IF(AB10=0,0,COUNTIF(AB$2:AB10,"&gt;0"))</f>
        <v>0</v>
      </c>
      <c r="AB10" s="2">
        <f t="shared" ca="1" si="3"/>
        <v>0</v>
      </c>
      <c r="AC10" s="2">
        <f ca="1">IF(AD10=0,0,COUNTIF(AD$2:AD10,"&gt;0"))</f>
        <v>0</v>
      </c>
      <c r="AD10" s="2">
        <f t="shared" ca="1" si="4"/>
        <v>0</v>
      </c>
      <c r="AF10" s="61"/>
      <c r="AG10" s="61"/>
      <c r="AH10" s="61"/>
    </row>
    <row r="11" spans="1:46" s="2" customFormat="1" ht="18">
      <c r="A11" s="78"/>
      <c r="B11" s="85"/>
      <c r="C11" s="131"/>
      <c r="D11" s="86" t="str">
        <f>IF($J$6="","",IF($A$1="Mile Post",(B11-A11),(B11-A11)*100))</f>
        <v/>
      </c>
      <c r="E11" s="78"/>
      <c r="F11" s="84"/>
      <c r="G11" s="93">
        <f>IF(ISERROR(SEARCH("Partial",H11)),0,1)</f>
        <v>0</v>
      </c>
      <c r="H11" s="80" t="s">
        <v>94</v>
      </c>
      <c r="I11" s="78"/>
      <c r="J11" s="78"/>
      <c r="K11" s="81" t="str">
        <f>IF(OR(M11=0,$J$6=""),"",IF(ISERROR(SEARCH("Partial",H11)),D11,IF($A$1="Mile Post",(J11-I11),(J11-I11)*100)))</f>
        <v/>
      </c>
      <c r="L11" s="79">
        <f ca="1">SUMIFS($AD$3:$AD$34,$X$3:$X$34,M3)</f>
        <v>0</v>
      </c>
      <c r="M11" s="55">
        <f>IF(H11="",0,IF(LEFT(H11,2)="No",0,IF(LEFT(H11,1)="P",1,2)))</f>
        <v>0</v>
      </c>
      <c r="N11" s="54">
        <f>IF(M11=1,MIN(I11:J11),IF(M11=2,MIN(A11:B11),0))</f>
        <v>0</v>
      </c>
      <c r="O11" s="54">
        <f>IF(M11=1,MAX(I11:J11),IF(M11=2,MAX(A11:B11),0))</f>
        <v>0</v>
      </c>
      <c r="P11" s="2">
        <f>IF(M11=1,K11,IF(M11=2,D11,0))</f>
        <v>0</v>
      </c>
      <c r="Q11" s="2">
        <f t="array" ref="Q11">IF(N11&gt;0,MIN(IF(L$24:L$82&gt;=N11,IF(L$24:L$82&lt;=O11,IF(AE$24:AE$82=S11,M$24:M$82)))),0)</f>
        <v>0</v>
      </c>
      <c r="R11" s="2">
        <f t="array" ref="R11">IF(N11&gt;0,MAX(IF(L$24:L$82&gt;=N11,IF(L$24:L$82&lt;=O11,IF(AE$24:AE$82=S11,M$24:M$82)))),0)</f>
        <v>0</v>
      </c>
      <c r="S11" s="54">
        <f>E11</f>
        <v>0</v>
      </c>
      <c r="T11" s="2">
        <f t="shared" si="5"/>
        <v>9</v>
      </c>
      <c r="U11" s="2" t="e">
        <f t="shared" ref="U11:U34" si="8">IF(T11&lt;=N$3,O$3/N$3,IF(T11&lt;=N$4,O$4/(N$4-M$4+1),IF(T11&lt;=N$5,O$5/(N$5-M$5+1),O$6/(N$6-M$6+1))))</f>
        <v>#DIV/0!</v>
      </c>
      <c r="V11" s="2">
        <f t="shared" si="7"/>
        <v>0</v>
      </c>
      <c r="W11" s="2">
        <f t="shared" si="0"/>
        <v>0</v>
      </c>
      <c r="X11" s="2">
        <f t="shared" si="1"/>
        <v>1</v>
      </c>
      <c r="Y11" s="2">
        <f t="shared" ca="1" si="2"/>
        <v>0</v>
      </c>
      <c r="AA11" s="2">
        <f ca="1">IF(AB11=0,0,COUNTIF(AB$2:AB11,"&gt;0"))</f>
        <v>0</v>
      </c>
      <c r="AB11" s="2">
        <f t="shared" ca="1" si="3"/>
        <v>0</v>
      </c>
      <c r="AC11" s="2">
        <f ca="1">IF(AD11=0,0,COUNTIF(AD$2:AD11,"&gt;0"))</f>
        <v>0</v>
      </c>
      <c r="AD11" s="2">
        <f t="shared" ca="1" si="4"/>
        <v>0</v>
      </c>
      <c r="AF11" s="61"/>
      <c r="AG11" s="61"/>
      <c r="AH11" s="61"/>
    </row>
    <row r="12" spans="1:46" s="2" customFormat="1" ht="15" customHeight="1">
      <c r="A12" s="90"/>
      <c r="B12" s="91"/>
      <c r="C12" s="132"/>
      <c r="D12" s="81"/>
      <c r="E12" s="90"/>
      <c r="F12" s="91"/>
      <c r="G12" s="93"/>
      <c r="H12" s="79"/>
      <c r="I12" s="92"/>
      <c r="J12" s="94"/>
      <c r="K12" s="95"/>
      <c r="L12" s="91"/>
      <c r="M12" s="55">
        <f>IF(H13="",0,IF(LEFT(H13,2)="No",0,IF(LEFT(H13,1)="P",1,2)))</f>
        <v>0</v>
      </c>
      <c r="N12" s="54">
        <f>IF(M12=1,MIN(I13:J13),IF(M12=2,MIN(A13:B13),0))</f>
        <v>0</v>
      </c>
      <c r="O12" s="54">
        <f>IF(M12=1,MAX(I13:J13),IF(M12=2,MAX(A13:B13),0))</f>
        <v>0</v>
      </c>
      <c r="P12" s="2">
        <f>IF(M12=1,K13,IF(M12=2,D13,0))</f>
        <v>0</v>
      </c>
      <c r="Q12" s="2">
        <f t="array" ref="Q12">IF(N12&gt;0,MIN(IF(L$24:L$82&gt;=N12,IF(L$24:L$82&lt;=O12,IF(AE$24:AE$82=S12,M$24:M$82)))),0)</f>
        <v>0</v>
      </c>
      <c r="R12" s="2">
        <f t="array" ref="R12">IF(N12&gt;0,MAX(IF(L$24:L$82&gt;=N12,IF(L$24:L$82&lt;=O12,IF(AE$24:AE$82=S12,M$24:M$82)))),0)</f>
        <v>0</v>
      </c>
      <c r="S12" s="54">
        <f>E13</f>
        <v>0</v>
      </c>
      <c r="T12" s="2">
        <f t="shared" si="5"/>
        <v>10</v>
      </c>
      <c r="U12" s="2" t="e">
        <f t="shared" si="8"/>
        <v>#DIV/0!</v>
      </c>
      <c r="V12" s="2">
        <f t="shared" si="7"/>
        <v>0</v>
      </c>
      <c r="W12" s="2">
        <f t="shared" si="0"/>
        <v>0</v>
      </c>
      <c r="X12" s="2">
        <f t="shared" si="1"/>
        <v>1</v>
      </c>
      <c r="Y12" s="2">
        <f t="shared" ca="1" si="2"/>
        <v>0</v>
      </c>
      <c r="AA12" s="2">
        <f ca="1">IF(AB12=0,0,COUNTIF(AB$2:AB12,"&gt;0"))</f>
        <v>0</v>
      </c>
      <c r="AB12" s="2">
        <f t="shared" ca="1" si="3"/>
        <v>0</v>
      </c>
      <c r="AC12" s="2">
        <f ca="1">IF(AD12=0,0,COUNTIF(AD$2:AD12,"&gt;0"))</f>
        <v>0</v>
      </c>
      <c r="AD12" s="2">
        <f t="shared" ca="1" si="4"/>
        <v>0</v>
      </c>
      <c r="AF12" s="61"/>
      <c r="AG12" s="61"/>
      <c r="AH12" s="61"/>
      <c r="AI12" s="122"/>
      <c r="AJ12" s="122"/>
      <c r="AK12" s="122"/>
      <c r="AL12" s="122"/>
    </row>
    <row r="13" spans="1:46" s="2" customFormat="1" ht="18">
      <c r="A13" s="78"/>
      <c r="B13" s="78"/>
      <c r="C13" s="132"/>
      <c r="D13" s="81" t="str">
        <f>IF($J$6="","",IF($A$1="Mile Post",(B13-A13),(B13-A13)*100))</f>
        <v/>
      </c>
      <c r="E13" s="78"/>
      <c r="F13" s="84"/>
      <c r="G13" s="93">
        <f>IF(ISERROR(SEARCH("Partial",H13)),0,1)</f>
        <v>0</v>
      </c>
      <c r="H13" s="80" t="s">
        <v>94</v>
      </c>
      <c r="I13" s="78"/>
      <c r="J13" s="78"/>
      <c r="K13" s="81" t="str">
        <f>IF(OR($J$6="",M12=0),"",IF(ISERROR(SEARCH("Partial",H13)),D13,IF($A$1="Mile Post",(J13-I13),(J13-I13)*100)))</f>
        <v/>
      </c>
      <c r="L13" s="79">
        <f ca="1">SUMIFS($AD$3:$AD$34,$X$3:$X$34,M4)</f>
        <v>0</v>
      </c>
      <c r="M13" s="55">
        <f>IF(H15="",0,IF(LEFT(H15,2)="No",0,IF(LEFT(H15,1)="P",1,2)))</f>
        <v>0</v>
      </c>
      <c r="N13" s="54">
        <f>IF(M13=1,MIN(I15:J15),IF(M13=2,MIN(A15:B15),0))</f>
        <v>0</v>
      </c>
      <c r="O13" s="54">
        <f>IF(M13=1,MAX(I15:J15),IF(M13=2,MAX(A15:B15),0))</f>
        <v>0</v>
      </c>
      <c r="P13" s="2">
        <f>IF(M13=1,K15,IF(M13=2,D15,0))</f>
        <v>0</v>
      </c>
      <c r="Q13" s="2">
        <f t="array" ref="Q13">IF(N13&gt;0,MIN(IF(L$24:L$82&gt;=N13,IF(L$24:L$82&lt;=O13,IF(AE$24:AE$82=S13,M$24:M$82)))),0)</f>
        <v>0</v>
      </c>
      <c r="R13" s="2">
        <f t="array" ref="R13">IF(N13&gt;0,MAX(IF(L$24:L$82&gt;=N13,IF(L$24:L$82&lt;=O13,IF(AE$24:AE$82=S13,M$24:M$82)))),0)</f>
        <v>0</v>
      </c>
      <c r="S13" s="54">
        <f>E15</f>
        <v>0</v>
      </c>
      <c r="T13" s="2">
        <f t="shared" si="5"/>
        <v>11</v>
      </c>
      <c r="U13" s="2" t="e">
        <f t="shared" si="8"/>
        <v>#DIV/0!</v>
      </c>
      <c r="V13" s="2">
        <f t="shared" si="7"/>
        <v>0</v>
      </c>
      <c r="W13" s="2">
        <f t="shared" si="0"/>
        <v>0</v>
      </c>
      <c r="X13" s="2">
        <f t="shared" si="1"/>
        <v>1</v>
      </c>
      <c r="Y13" s="2">
        <f t="shared" ca="1" si="2"/>
        <v>0</v>
      </c>
      <c r="AA13" s="2">
        <f ca="1">IF(AB13=0,0,COUNTIF(AB$2:AB13,"&gt;0"))</f>
        <v>0</v>
      </c>
      <c r="AB13" s="2">
        <f t="shared" ca="1" si="3"/>
        <v>0</v>
      </c>
      <c r="AC13" s="2">
        <f ca="1">IF(AD13=0,0,COUNTIF(AD$2:AD13,"&gt;0"))</f>
        <v>0</v>
      </c>
      <c r="AD13" s="2">
        <f t="shared" ca="1" si="4"/>
        <v>0</v>
      </c>
      <c r="AF13" s="61"/>
      <c r="AG13" s="55"/>
    </row>
    <row r="14" spans="1:46" s="2" customFormat="1" ht="15" customHeight="1">
      <c r="A14" s="90" t="s">
        <v>17</v>
      </c>
      <c r="B14" s="91"/>
      <c r="C14" s="132"/>
      <c r="D14" s="81"/>
      <c r="E14" s="90"/>
      <c r="F14" s="91"/>
      <c r="G14" s="93"/>
      <c r="H14" s="79"/>
      <c r="I14" s="92" t="s">
        <v>17</v>
      </c>
      <c r="J14" s="94"/>
      <c r="K14" s="95"/>
      <c r="L14" s="91"/>
      <c r="M14" s="55">
        <f>IF(H17="",0,IF(LEFT(H17,2)="No",0,IF(LEFT(H17,1)="P",1,2)))</f>
        <v>0</v>
      </c>
      <c r="N14" s="54">
        <f>IF(M14=1,MIN(I17:J17),IF(M14=2,MIN(A17:B17),0))</f>
        <v>0</v>
      </c>
      <c r="O14" s="54">
        <f>IF(M14=1,MAX(I17:J17),IF(M14=2,MAX(A17:B17),0))</f>
        <v>0</v>
      </c>
      <c r="P14" s="2">
        <f>IF(M14=1,K17,IF(M14=2,D17,0))</f>
        <v>0</v>
      </c>
      <c r="Q14" s="2">
        <f t="array" ref="Q14">IF(N14&gt;0,MIN(IF(L$24:L$82&gt;=N14,IF(L$24:L$82&lt;=O14,IF(AE$24:AE$82=S14,M$24:M$82)))),0)</f>
        <v>0</v>
      </c>
      <c r="R14" s="2">
        <f t="array" ref="R14">IF(N14&gt;0,MAX(IF(L$24:L$82&gt;=N14,IF(L$24:L$82&lt;=O14,IF(AE$24:AE$82=S14,M$24:M$82)))),0)</f>
        <v>0</v>
      </c>
      <c r="S14" s="54">
        <f>E17</f>
        <v>0</v>
      </c>
      <c r="T14" s="2">
        <f t="shared" si="5"/>
        <v>12</v>
      </c>
      <c r="U14" s="2" t="e">
        <f t="shared" si="8"/>
        <v>#DIV/0!</v>
      </c>
      <c r="V14" s="2">
        <f t="shared" si="7"/>
        <v>0</v>
      </c>
      <c r="W14" s="2">
        <f t="shared" si="0"/>
        <v>0</v>
      </c>
      <c r="X14" s="2">
        <f t="shared" si="1"/>
        <v>1</v>
      </c>
      <c r="Y14" s="2">
        <f t="shared" ca="1" si="2"/>
        <v>0</v>
      </c>
      <c r="AA14" s="2">
        <f ca="1">IF(AB14=0,0,COUNTIF(AB$2:AB14,"&gt;0"))</f>
        <v>0</v>
      </c>
      <c r="AB14" s="2">
        <f t="shared" ca="1" si="3"/>
        <v>0</v>
      </c>
      <c r="AC14" s="2">
        <f ca="1">IF(AD14=0,0,COUNTIF(AD$2:AD14,"&gt;0"))</f>
        <v>0</v>
      </c>
      <c r="AD14" s="2">
        <f t="shared" ca="1" si="4"/>
        <v>0</v>
      </c>
      <c r="AF14" s="98"/>
      <c r="AG14" s="55"/>
    </row>
    <row r="15" spans="1:46" s="2" customFormat="1" ht="18">
      <c r="A15" s="78"/>
      <c r="B15" s="78"/>
      <c r="C15" s="132"/>
      <c r="D15" s="81" t="str">
        <f>IF($J$6="","",IF($A$1="Mile Post",(B15-A15),(B15-A15)*100))</f>
        <v/>
      </c>
      <c r="E15" s="78"/>
      <c r="F15" s="84"/>
      <c r="G15" s="93">
        <f>IF(ISERROR(SEARCH("Partial",H15)),0,1)</f>
        <v>0</v>
      </c>
      <c r="H15" s="80" t="s">
        <v>94</v>
      </c>
      <c r="I15" s="78"/>
      <c r="J15" s="78"/>
      <c r="K15" s="81" t="str">
        <f>IF(OR(M13=0,$J$6=""),"",IF(ISERROR(SEARCH("Partial",H15)),D15,IF($A$1="Mile Post",(J15-I15),(J15-I15)*100)))</f>
        <v/>
      </c>
      <c r="L15" s="79">
        <f ca="1">SUMIFS($AD$3:$AD$34,$X$3:$X$34,M5)</f>
        <v>0</v>
      </c>
      <c r="T15" s="2">
        <f t="shared" si="5"/>
        <v>13</v>
      </c>
      <c r="U15" s="2" t="e">
        <f t="shared" si="8"/>
        <v>#DIV/0!</v>
      </c>
      <c r="V15" s="2">
        <f t="shared" si="7"/>
        <v>0</v>
      </c>
      <c r="W15" s="2">
        <f t="shared" si="0"/>
        <v>0</v>
      </c>
      <c r="X15" s="2">
        <f t="shared" si="1"/>
        <v>1</v>
      </c>
      <c r="Y15" s="2">
        <f t="shared" ca="1" si="2"/>
        <v>0</v>
      </c>
      <c r="AA15" s="2">
        <f ca="1">IF(AB15=0,0,COUNTIF(AB$2:AB15,"&gt;0"))</f>
        <v>0</v>
      </c>
      <c r="AB15" s="2">
        <f t="shared" ca="1" si="3"/>
        <v>0</v>
      </c>
      <c r="AC15" s="2">
        <f ca="1">IF(AD15=0,0,COUNTIF(AD$2:AD15,"&gt;0"))</f>
        <v>0</v>
      </c>
      <c r="AD15" s="2">
        <f t="shared" ca="1" si="4"/>
        <v>0</v>
      </c>
      <c r="AF15" s="98"/>
      <c r="AG15" s="55"/>
      <c r="AH15" s="55"/>
    </row>
    <row r="16" spans="1:46" s="2" customFormat="1" ht="15" customHeight="1">
      <c r="A16" s="90"/>
      <c r="B16" s="91"/>
      <c r="C16" s="132"/>
      <c r="D16" s="81"/>
      <c r="E16" s="90"/>
      <c r="F16" s="91"/>
      <c r="G16" s="93"/>
      <c r="H16" s="79"/>
      <c r="I16" s="92"/>
      <c r="J16" s="94"/>
      <c r="K16" s="95"/>
      <c r="L16" s="91"/>
      <c r="T16" s="2">
        <f t="shared" si="5"/>
        <v>14</v>
      </c>
      <c r="U16" s="2" t="e">
        <f t="shared" si="8"/>
        <v>#DIV/0!</v>
      </c>
      <c r="V16" s="2">
        <f t="shared" si="7"/>
        <v>0</v>
      </c>
      <c r="W16" s="2">
        <f t="shared" si="0"/>
        <v>0</v>
      </c>
      <c r="X16" s="2">
        <f t="shared" si="1"/>
        <v>1</v>
      </c>
      <c r="Y16" s="2">
        <f t="shared" ca="1" si="2"/>
        <v>0</v>
      </c>
      <c r="AA16" s="2">
        <f ca="1">IF(AB16=0,0,COUNTIF(AB$2:AB16,"&gt;0"))</f>
        <v>0</v>
      </c>
      <c r="AB16" s="2">
        <f t="shared" ca="1" si="3"/>
        <v>0</v>
      </c>
      <c r="AC16" s="2">
        <f ca="1">IF(AD16=0,0,COUNTIF(AD$2:AD16,"&gt;0"))</f>
        <v>0</v>
      </c>
      <c r="AD16" s="2">
        <f t="shared" ca="1" si="4"/>
        <v>0</v>
      </c>
      <c r="AF16" s="98"/>
      <c r="AG16" s="55"/>
      <c r="AH16" s="55"/>
    </row>
    <row r="17" spans="1:85" s="2" customFormat="1" ht="18">
      <c r="A17" s="78"/>
      <c r="B17" s="78"/>
      <c r="C17" s="133"/>
      <c r="D17" s="81" t="str">
        <f>IF($J$6="","",IF($A$1="Mile Post",(B17-A17),(B17-A17)*100))</f>
        <v/>
      </c>
      <c r="E17" s="78"/>
      <c r="F17" s="84"/>
      <c r="G17" s="93">
        <f>IF(ISERROR(SEARCH("Partial",H17)),0,1)</f>
        <v>0</v>
      </c>
      <c r="H17" s="80" t="s">
        <v>94</v>
      </c>
      <c r="I17" s="78"/>
      <c r="J17" s="78"/>
      <c r="K17" s="81" t="str">
        <f>IF(OR(M14=0,$J$6=""),"",IF(ISERROR(SEARCH("Partial",H17)),D17,IF($A$1="Mile Post",(J17-I17),(J17-I17)*100)))</f>
        <v/>
      </c>
      <c r="L17" s="79">
        <f ca="1">SUMIFS($AD$3:$AD$34,$X$3:$X$34,M6)</f>
        <v>0</v>
      </c>
      <c r="T17" s="2">
        <f t="shared" si="5"/>
        <v>15</v>
      </c>
      <c r="U17" s="2" t="e">
        <f t="shared" si="8"/>
        <v>#DIV/0!</v>
      </c>
      <c r="V17" s="2">
        <f t="shared" si="7"/>
        <v>0</v>
      </c>
      <c r="W17" s="2">
        <f t="shared" si="0"/>
        <v>0</v>
      </c>
      <c r="X17" s="2">
        <f t="shared" si="1"/>
        <v>1</v>
      </c>
      <c r="Y17" s="2">
        <f t="shared" ca="1" si="2"/>
        <v>0</v>
      </c>
      <c r="AA17" s="2">
        <f ca="1">IF(AB17=0,0,COUNTIF(AB$2:AB17,"&gt;0"))</f>
        <v>0</v>
      </c>
      <c r="AB17" s="2">
        <f t="shared" ca="1" si="3"/>
        <v>0</v>
      </c>
      <c r="AC17" s="2">
        <f ca="1">IF(AD17=0,0,COUNTIF(AD$2:AD17,"&gt;0"))</f>
        <v>0</v>
      </c>
      <c r="AD17" s="2">
        <f t="shared" ca="1" si="4"/>
        <v>0</v>
      </c>
      <c r="AF17" s="61"/>
      <c r="AG17" s="55"/>
      <c r="AH17" s="55"/>
    </row>
    <row r="18" spans="1:85" s="2" customFormat="1" ht="52.5" customHeight="1">
      <c r="A18" s="126"/>
      <c r="B18" s="127"/>
      <c r="C18" s="127"/>
      <c r="D18" s="67"/>
      <c r="E18" s="4" t="s">
        <v>97</v>
      </c>
      <c r="F18" s="77">
        <f>SUM(F11:F17)</f>
        <v>0</v>
      </c>
      <c r="G18" s="126"/>
      <c r="H18" s="127"/>
      <c r="I18" s="127"/>
      <c r="J18" s="82"/>
      <c r="K18" s="83" t="s">
        <v>98</v>
      </c>
      <c r="L18" s="77">
        <f>IF(L19&gt;0,SUM(AD3:AD34),0)</f>
        <v>0</v>
      </c>
      <c r="T18" s="2">
        <f t="shared" si="5"/>
        <v>16</v>
      </c>
      <c r="U18" s="2" t="e">
        <f t="shared" si="8"/>
        <v>#DIV/0!</v>
      </c>
      <c r="V18" s="2">
        <f t="shared" si="7"/>
        <v>0</v>
      </c>
      <c r="W18" s="2">
        <f t="shared" si="0"/>
        <v>0</v>
      </c>
      <c r="X18" s="2">
        <f t="shared" si="1"/>
        <v>1</v>
      </c>
      <c r="Y18" s="2">
        <f t="shared" ca="1" si="2"/>
        <v>0</v>
      </c>
      <c r="AA18" s="2">
        <f ca="1">IF(AB18=0,0,COUNTIF(AB$2:AB18,"&gt;0"))</f>
        <v>0</v>
      </c>
      <c r="AB18" s="2">
        <f t="shared" ca="1" si="3"/>
        <v>0</v>
      </c>
      <c r="AC18" s="2">
        <f ca="1">IF(AD18=0,0,COUNTIF(AD$2:AD18,"&gt;0"))</f>
        <v>0</v>
      </c>
      <c r="AD18" s="2">
        <f t="shared" ca="1" si="4"/>
        <v>0</v>
      </c>
      <c r="AF18" s="61"/>
      <c r="AG18" s="61"/>
      <c r="AH18" s="61"/>
    </row>
    <row r="19" spans="1:85" s="2" customFormat="1" ht="18" customHeight="1">
      <c r="A19" s="128"/>
      <c r="B19" s="122"/>
      <c r="C19" s="122"/>
      <c r="E19" s="4" t="s">
        <v>99</v>
      </c>
      <c r="F19" s="75" t="str">
        <f>IF(D11="","",SUM(ABS(D11),ABS(D13),ABS(D15),ABS(D17)))</f>
        <v/>
      </c>
      <c r="G19" s="128"/>
      <c r="H19" s="122"/>
      <c r="I19" s="122"/>
      <c r="K19" s="4" t="s">
        <v>99</v>
      </c>
      <c r="L19" s="75" t="str">
        <f>IF(J6="","",SUM(ABS(K11),ABS(K13),ABS(K15),ABS(K17)))</f>
        <v/>
      </c>
      <c r="N19" s="3"/>
      <c r="T19" s="2">
        <f t="shared" si="5"/>
        <v>17</v>
      </c>
      <c r="U19" s="2" t="e">
        <f t="shared" si="8"/>
        <v>#DIV/0!</v>
      </c>
      <c r="V19" s="2">
        <f t="shared" si="7"/>
        <v>0</v>
      </c>
      <c r="W19" s="2">
        <f t="shared" si="0"/>
        <v>0</v>
      </c>
      <c r="X19" s="2">
        <f t="shared" si="1"/>
        <v>1</v>
      </c>
      <c r="Y19" s="2">
        <f t="shared" ca="1" si="2"/>
        <v>0</v>
      </c>
      <c r="AA19" s="2">
        <f ca="1">IF(AB19=0,0,COUNTIF(AB$2:AB19,"&gt;0"))</f>
        <v>0</v>
      </c>
      <c r="AB19" s="2">
        <f t="shared" ca="1" si="3"/>
        <v>0</v>
      </c>
      <c r="AC19" s="2">
        <f ca="1">IF(AD19=0,0,COUNTIF(AD$2:AD19,"&gt;0"))</f>
        <v>0</v>
      </c>
      <c r="AD19" s="2">
        <f t="shared" ca="1" si="4"/>
        <v>0</v>
      </c>
      <c r="AF19" s="61"/>
      <c r="AG19" s="61"/>
      <c r="AH19" s="61"/>
    </row>
    <row r="20" spans="1:85" s="2" customFormat="1" ht="18">
      <c r="A20" s="129"/>
      <c r="B20" s="130"/>
      <c r="C20" s="130"/>
      <c r="D20" s="103"/>
      <c r="E20" s="104" t="s">
        <v>103</v>
      </c>
      <c r="F20" s="106" t="str">
        <f>IF(F19="","",F19/F18)</f>
        <v/>
      </c>
      <c r="G20" s="129"/>
      <c r="H20" s="130"/>
      <c r="I20" s="130"/>
      <c r="J20" s="103"/>
      <c r="K20" s="104" t="s">
        <v>103</v>
      </c>
      <c r="L20" s="105">
        <f>IF(L18=0,0,L19/L18)</f>
        <v>0</v>
      </c>
      <c r="M20" s="101"/>
      <c r="T20" s="2">
        <f t="shared" si="5"/>
        <v>18</v>
      </c>
      <c r="U20" s="2" t="e">
        <f t="shared" si="8"/>
        <v>#DIV/0!</v>
      </c>
      <c r="V20" s="2">
        <f t="shared" si="7"/>
        <v>0</v>
      </c>
      <c r="W20" s="2">
        <f t="shared" si="0"/>
        <v>0</v>
      </c>
      <c r="X20" s="2">
        <f t="shared" si="1"/>
        <v>1</v>
      </c>
      <c r="Y20" s="2">
        <f t="shared" ca="1" si="2"/>
        <v>0</v>
      </c>
      <c r="AA20" s="2">
        <f ca="1">IF(AB20=0,0,COUNTIF(AB$2:AB20,"&gt;0"))</f>
        <v>0</v>
      </c>
      <c r="AB20" s="2">
        <f t="shared" ca="1" si="3"/>
        <v>0</v>
      </c>
      <c r="AC20" s="2">
        <f ca="1">IF(AD20=0,0,COUNTIF(AD$2:AD20,"&gt;0"))</f>
        <v>0</v>
      </c>
      <c r="AD20" s="2">
        <f t="shared" ca="1" si="4"/>
        <v>0</v>
      </c>
      <c r="AE20" s="2" t="s">
        <v>122</v>
      </c>
      <c r="AF20" s="61"/>
      <c r="AG20" s="61"/>
      <c r="AH20" s="61"/>
    </row>
    <row r="21" spans="1:85" s="2" customFormat="1" ht="18">
      <c r="B21" s="67"/>
      <c r="C21" s="67"/>
      <c r="D21" s="116"/>
      <c r="E21" s="116"/>
      <c r="F21" s="116"/>
      <c r="G21" s="101" t="str">
        <f>IF(L19=0,"",IF($L$19&lt;2*$F$20,CONCATENATE("Need at least ",TEXT(SUM(2*$F$20),"0,0")," ft (2 mat sublots) to core the joint"".Jointcoreswaived"),""))</f>
        <v/>
      </c>
      <c r="T21" s="2">
        <f t="shared" si="5"/>
        <v>19</v>
      </c>
      <c r="U21" s="2" t="e">
        <f t="shared" si="8"/>
        <v>#DIV/0!</v>
      </c>
      <c r="V21" s="2">
        <f t="shared" si="7"/>
        <v>0</v>
      </c>
      <c r="W21" s="2">
        <f t="shared" si="0"/>
        <v>0</v>
      </c>
      <c r="X21" s="2">
        <f t="shared" si="1"/>
        <v>1</v>
      </c>
      <c r="Y21" s="2">
        <f t="shared" ca="1" si="2"/>
        <v>0</v>
      </c>
      <c r="AA21" s="2">
        <f ca="1">IF(AB21=0,0,COUNTIF(AB$2:AB21,"&gt;0"))</f>
        <v>0</v>
      </c>
      <c r="AB21" s="2">
        <f t="shared" ca="1" si="3"/>
        <v>0</v>
      </c>
      <c r="AC21" s="2">
        <f ca="1">IF(AD21=0,0,COUNTIF(AD$2:AD21,"&gt;0"))</f>
        <v>0</v>
      </c>
      <c r="AD21" s="2">
        <f t="shared" ca="1" si="4"/>
        <v>0</v>
      </c>
      <c r="AF21" s="118"/>
      <c r="AG21" s="118"/>
      <c r="AH21" s="61"/>
      <c r="AI21" s="3" t="s">
        <v>111</v>
      </c>
      <c r="AJ21" s="3" t="s">
        <v>112</v>
      </c>
      <c r="AK21" s="3" t="s">
        <v>113</v>
      </c>
      <c r="AL21" s="3" t="s">
        <v>114</v>
      </c>
      <c r="AM21" s="3" t="s">
        <v>115</v>
      </c>
      <c r="AN21" s="3">
        <v>1</v>
      </c>
      <c r="AO21" s="3">
        <v>2</v>
      </c>
      <c r="AP21" s="3">
        <v>3</v>
      </c>
      <c r="AQ21" s="3">
        <v>4</v>
      </c>
      <c r="AR21" s="3">
        <v>5</v>
      </c>
      <c r="AS21" s="3">
        <v>6</v>
      </c>
      <c r="AT21" s="3">
        <v>7</v>
      </c>
      <c r="AU21" s="3">
        <v>8</v>
      </c>
      <c r="AV21" s="3">
        <v>9</v>
      </c>
      <c r="AW21" s="3">
        <v>10</v>
      </c>
      <c r="AX21" s="3">
        <v>11</v>
      </c>
      <c r="AY21" s="3">
        <v>12</v>
      </c>
      <c r="AZ21" s="3">
        <v>13</v>
      </c>
      <c r="BA21" s="3">
        <v>14</v>
      </c>
      <c r="BB21" s="3">
        <v>15</v>
      </c>
      <c r="BC21" s="3">
        <v>16</v>
      </c>
      <c r="BD21" s="3">
        <v>17</v>
      </c>
      <c r="BE21" s="3">
        <v>18</v>
      </c>
      <c r="BF21" s="3">
        <v>19</v>
      </c>
      <c r="BG21" s="3">
        <v>20</v>
      </c>
      <c r="BH21" s="3">
        <v>21</v>
      </c>
      <c r="BI21" s="3">
        <v>1</v>
      </c>
      <c r="BJ21" s="3">
        <v>2</v>
      </c>
      <c r="BK21" s="3">
        <v>3</v>
      </c>
      <c r="BL21" s="3">
        <v>4</v>
      </c>
      <c r="BM21" s="3">
        <v>5</v>
      </c>
      <c r="BN21" s="3">
        <v>6</v>
      </c>
      <c r="BO21" s="3">
        <v>7</v>
      </c>
      <c r="BP21" s="3">
        <v>8</v>
      </c>
      <c r="BQ21" s="3">
        <v>9</v>
      </c>
      <c r="BR21" s="3">
        <v>10</v>
      </c>
      <c r="BS21" s="3">
        <v>11</v>
      </c>
      <c r="BT21" s="3">
        <v>12</v>
      </c>
      <c r="BU21" s="3">
        <v>13</v>
      </c>
      <c r="BV21" s="3">
        <v>14</v>
      </c>
      <c r="BW21" s="3">
        <v>15</v>
      </c>
      <c r="BX21" s="3">
        <v>16</v>
      </c>
      <c r="BY21" s="3">
        <v>17</v>
      </c>
      <c r="BZ21" s="3">
        <v>18</v>
      </c>
      <c r="CA21" s="3">
        <v>19</v>
      </c>
      <c r="CB21" s="3">
        <v>20</v>
      </c>
      <c r="CC21" s="3">
        <v>21</v>
      </c>
      <c r="CD21" s="2">
        <v>1</v>
      </c>
      <c r="CE21" s="2">
        <v>2</v>
      </c>
      <c r="CF21" s="2">
        <v>3</v>
      </c>
      <c r="CG21" s="2">
        <v>4</v>
      </c>
    </row>
    <row r="22" spans="1:85" s="2" customFormat="1" ht="42.75" customHeight="1">
      <c r="A22" s="18"/>
      <c r="B22" s="18"/>
      <c r="C22" s="18"/>
      <c r="D22" s="18"/>
      <c r="E22" s="64"/>
      <c r="F22" s="100"/>
      <c r="G22" s="117" t="s">
        <v>119</v>
      </c>
      <c r="H22" s="117"/>
      <c r="I22" s="117"/>
      <c r="J22" s="117"/>
      <c r="K22" s="117"/>
      <c r="L22" s="117"/>
      <c r="T22" s="2">
        <f t="shared" si="5"/>
        <v>20</v>
      </c>
      <c r="U22" s="2" t="e">
        <f t="shared" si="8"/>
        <v>#DIV/0!</v>
      </c>
      <c r="V22" s="2">
        <f t="shared" si="7"/>
        <v>0</v>
      </c>
      <c r="W22" s="2">
        <f t="shared" si="0"/>
        <v>0</v>
      </c>
      <c r="X22" s="2">
        <f t="shared" si="1"/>
        <v>1</v>
      </c>
      <c r="Y22" s="2">
        <f t="shared" ca="1" si="2"/>
        <v>0</v>
      </c>
      <c r="AA22" s="2">
        <f ca="1">IF(AB22=0,0,COUNTIF(AB$2:AB22,"&gt;0"))</f>
        <v>0</v>
      </c>
      <c r="AB22" s="2">
        <f t="shared" ca="1" si="3"/>
        <v>0</v>
      </c>
      <c r="AC22" s="2">
        <f ca="1">IF(AD22=0,0,COUNTIF(AD$2:AD22,"&gt;0"))</f>
        <v>0</v>
      </c>
      <c r="AD22" s="2">
        <f t="shared" ca="1" si="4"/>
        <v>0</v>
      </c>
      <c r="AF22" s="61"/>
      <c r="AH22" s="61"/>
      <c r="AI22" s="3">
        <v>1</v>
      </c>
      <c r="AJ22" s="3" t="e">
        <f>P11/L$19</f>
        <v>#DIV/0!</v>
      </c>
      <c r="AK22" s="3" t="e">
        <f>ROUND(AI$2*AJ22,0)</f>
        <v>#DIV/0!</v>
      </c>
      <c r="AL22" s="3">
        <f>Q11</f>
        <v>0</v>
      </c>
      <c r="AM22" s="3">
        <f>R11</f>
        <v>0</v>
      </c>
      <c r="AN22" s="3" t="e">
        <f ca="1">IF($AK22&gt;0,RANDBETWEEN($AL22,$AM22),0)</f>
        <v>#DIV/0!</v>
      </c>
      <c r="AO22" s="3" t="e">
        <f t="shared" ref="AO22:BH25" ca="1" si="9">IF($AK22&gt;0,RANDBETWEEN($AL22,$AM22),0)</f>
        <v>#DIV/0!</v>
      </c>
      <c r="AP22" s="3" t="e">
        <f t="shared" ca="1" si="9"/>
        <v>#DIV/0!</v>
      </c>
      <c r="AQ22" s="3" t="e">
        <f t="shared" ca="1" si="9"/>
        <v>#DIV/0!</v>
      </c>
      <c r="AR22" s="3" t="e">
        <f t="shared" ca="1" si="9"/>
        <v>#DIV/0!</v>
      </c>
      <c r="AS22" s="3" t="e">
        <f t="shared" ca="1" si="9"/>
        <v>#DIV/0!</v>
      </c>
      <c r="AT22" s="3" t="e">
        <f t="shared" ca="1" si="9"/>
        <v>#DIV/0!</v>
      </c>
      <c r="AU22" s="3" t="e">
        <f t="shared" ca="1" si="9"/>
        <v>#DIV/0!</v>
      </c>
      <c r="AV22" s="3" t="e">
        <f t="shared" ca="1" si="9"/>
        <v>#DIV/0!</v>
      </c>
      <c r="AW22" s="3" t="e">
        <f t="shared" ca="1" si="9"/>
        <v>#DIV/0!</v>
      </c>
      <c r="AX22" s="3" t="e">
        <f t="shared" ca="1" si="9"/>
        <v>#DIV/0!</v>
      </c>
      <c r="AY22" s="3" t="e">
        <f t="shared" ca="1" si="9"/>
        <v>#DIV/0!</v>
      </c>
      <c r="AZ22" s="3" t="e">
        <f t="shared" ca="1" si="9"/>
        <v>#DIV/0!</v>
      </c>
      <c r="BA22" s="3" t="e">
        <f t="shared" ca="1" si="9"/>
        <v>#DIV/0!</v>
      </c>
      <c r="BB22" s="3" t="e">
        <f t="shared" ca="1" si="9"/>
        <v>#DIV/0!</v>
      </c>
      <c r="BC22" s="3" t="e">
        <f t="shared" ca="1" si="9"/>
        <v>#DIV/0!</v>
      </c>
      <c r="BD22" s="3" t="e">
        <f t="shared" ca="1" si="9"/>
        <v>#DIV/0!</v>
      </c>
      <c r="BE22" s="3" t="e">
        <f t="shared" ca="1" si="9"/>
        <v>#DIV/0!</v>
      </c>
      <c r="BF22" s="3" t="e">
        <f t="shared" ca="1" si="9"/>
        <v>#DIV/0!</v>
      </c>
      <c r="BG22" s="3" t="e">
        <f t="shared" ca="1" si="9"/>
        <v>#DIV/0!</v>
      </c>
      <c r="BH22" s="3" t="e">
        <f t="shared" ca="1" si="9"/>
        <v>#DIV/0!</v>
      </c>
      <c r="BI22" s="2" t="e">
        <f ca="1">IF(COUNTIF($AN22:AN22,AN22)&gt;1,999,AN22)</f>
        <v>#DIV/0!</v>
      </c>
      <c r="BJ22" s="2" t="e">
        <f ca="1">IF(OR(COUNTIF($AN22:AO22,AO22)&gt;1,COUNTIFS($BI22:BI22,"&gt;0",$BI22:BI22,"&lt;999")&gt;=$AK22),999,AO22)</f>
        <v>#DIV/0!</v>
      </c>
      <c r="BK22" s="2" t="e">
        <f ca="1">IF(OR(COUNTIF($AN22:AP22,AP22)&gt;1,COUNTIFS($BI22:BJ22,"&gt;0",$BI22:BJ22,"&lt;999")&gt;=$AK22),999,AP22)</f>
        <v>#DIV/0!</v>
      </c>
      <c r="BL22" s="2" t="e">
        <f ca="1">IF(OR(COUNTIF($AN22:AQ22,AQ22)&gt;1,COUNTIFS($BI22:BK22,"&gt;0",$BI22:BK22,"&lt;999")&gt;=$AK22),999,AQ22)</f>
        <v>#DIV/0!</v>
      </c>
      <c r="BM22" s="2" t="e">
        <f ca="1">IF(OR(COUNTIF($AN22:AR22,AR22)&gt;1,COUNTIFS($BI22:BL22,"&gt;0",$BI22:BL22,"&lt;999")&gt;=$AK22),999,AR22)</f>
        <v>#DIV/0!</v>
      </c>
      <c r="BN22" s="2" t="e">
        <f ca="1">IF(OR(COUNTIF($AN22:AS22,AS22)&gt;1,COUNTIFS($BI22:BM22,"&gt;0",$BI22:BM22,"&lt;999")&gt;=$AK22),999,AS22)</f>
        <v>#DIV/0!</v>
      </c>
      <c r="BO22" s="2" t="e">
        <f ca="1">IF(OR(COUNTIF($AN22:AT22,AT22)&gt;1,COUNTIFS($BI22:BN22,"&gt;0",$BI22:BN22,"&lt;999")&gt;=$AK22),999,AT22)</f>
        <v>#DIV/0!</v>
      </c>
      <c r="BP22" s="2" t="e">
        <f ca="1">IF(OR(COUNTIF($AN22:AU22,AU22)&gt;1,COUNTIFS($BI22:BO22,"&gt;0",$BI22:BO22,"&lt;999")&gt;=$AK22),999,AU22)</f>
        <v>#DIV/0!</v>
      </c>
      <c r="BQ22" s="2" t="e">
        <f ca="1">IF(OR(COUNTIF($AN22:AV22,AV22)&gt;1,COUNTIFS($BI22:BP22,"&gt;0",$BI22:BP22,"&lt;999")&gt;=$AK22),999,AV22)</f>
        <v>#DIV/0!</v>
      </c>
      <c r="BR22" s="2" t="e">
        <f ca="1">IF(OR(COUNTIF($AN22:AW22,AW22)&gt;1,COUNTIFS($BI22:BQ22,"&gt;0",$BI22:BQ22,"&lt;999")&gt;=$AK22),999,AW22)</f>
        <v>#DIV/0!</v>
      </c>
      <c r="BS22" s="2" t="e">
        <f ca="1">IF(OR(COUNTIF($AN22:AX22,AX22)&gt;1,COUNTIFS($BI22:BR22,"&gt;0",$BI22:BR22,"&lt;999")&gt;=$AK22),999,AX22)</f>
        <v>#DIV/0!</v>
      </c>
      <c r="BT22" s="2" t="e">
        <f ca="1">IF(OR(COUNTIF($AN22:AY22,AY22)&gt;1,COUNTIFS($BI22:BS22,"&gt;0",$BI22:BS22,"&lt;999")&gt;=$AK22),999,AY22)</f>
        <v>#DIV/0!</v>
      </c>
      <c r="BU22" s="2" t="e">
        <f ca="1">IF(OR(COUNTIF($AN22:AZ22,AZ22)&gt;1,COUNTIFS($BI22:BT22,"&gt;0",$BI22:BT22,"&lt;999")&gt;=$AK22),999,AZ22)</f>
        <v>#DIV/0!</v>
      </c>
      <c r="BV22" s="2" t="e">
        <f ca="1">IF(OR(COUNTIF($AN22:BA22,BA22)&gt;1,COUNTIFS($BI22:BU22,"&gt;0",$BI22:BU22,"&lt;999")&gt;=$AK22),999,BA22)</f>
        <v>#DIV/0!</v>
      </c>
      <c r="BW22" s="2" t="e">
        <f ca="1">IF(OR(COUNTIF($AN22:BB22,BB22)&gt;1,COUNTIFS($BI22:BV22,"&gt;0",$BI22:BV22,"&lt;999")&gt;=$AK22),999,BB22)</f>
        <v>#DIV/0!</v>
      </c>
      <c r="BX22" s="2" t="e">
        <f ca="1">IF(OR(COUNTIF($AN22:BC22,BC22)&gt;1,COUNTIFS($BI22:BW22,"&gt;0",$BI22:BW22,"&lt;999")&gt;=$AK22),999,BC22)</f>
        <v>#DIV/0!</v>
      </c>
      <c r="BY22" s="2" t="e">
        <f ca="1">IF(OR(COUNTIF($AN22:BD22,BD22)&gt;1,COUNTIFS($BI22:BX22,"&gt;0",$BI22:BX22,"&lt;999")&gt;=$AK22),999,BD22)</f>
        <v>#DIV/0!</v>
      </c>
      <c r="BZ22" s="2" t="e">
        <f ca="1">IF(OR(COUNTIF($AN22:BE22,BE22)&gt;1,COUNTIFS($BI22:BY22,"&gt;0",$BI22:BY22,"&lt;999")&gt;=$AK22),999,BE22)</f>
        <v>#DIV/0!</v>
      </c>
      <c r="CA22" s="2" t="e">
        <f ca="1">IF(OR(COUNTIF($AN22:BF22,BF22)&gt;1,COUNTIFS($BI22:BZ22,"&gt;0",$BI22:BZ22,"&lt;999")&gt;=$AK22),999,BF22)</f>
        <v>#DIV/0!</v>
      </c>
      <c r="CB22" s="2" t="e">
        <f ca="1">IF(OR(COUNTIF($AN22:BG22,BG22)&gt;1,COUNTIFS($BI22:CA22,"&gt;0",$BI22:CA22,"&lt;999")&gt;=$AK22),999,BG22)</f>
        <v>#DIV/0!</v>
      </c>
      <c r="CC22" s="2" t="e">
        <f ca="1">IF(OR(COUNTIF($AN22:BH22,BH22)&gt;1,COUNTIFS($BI22:CB22,"&gt;0",$BI22:CB22,"&lt;999")&gt;=$AK22),999,BH22)</f>
        <v>#DIV/0!</v>
      </c>
      <c r="CD22" s="2" t="e">
        <f ca="1">MIN(BI22:CC22)</f>
        <v>#DIV/0!</v>
      </c>
      <c r="CE22" s="2" t="e">
        <f t="shared" ref="CE22:CG25" ca="1" si="10">IF(CE$21&lt;=$AI$2,IF(CD22&gt;0,SMALL($BI22:$CC22,CE$21),""),"")</f>
        <v>#DIV/0!</v>
      </c>
      <c r="CF22" s="2" t="e">
        <f t="shared" ca="1" si="10"/>
        <v>#DIV/0!</v>
      </c>
      <c r="CG22" s="2" t="str">
        <f t="shared" si="10"/>
        <v/>
      </c>
    </row>
    <row r="23" spans="1:85" s="2" customFormat="1" ht="18">
      <c r="G23" s="3"/>
      <c r="L23" s="54"/>
      <c r="T23" s="2">
        <f t="shared" si="5"/>
        <v>21</v>
      </c>
      <c r="U23" s="2" t="e">
        <f t="shared" si="8"/>
        <v>#DIV/0!</v>
      </c>
      <c r="V23" s="2">
        <f t="shared" si="7"/>
        <v>0</v>
      </c>
      <c r="W23" s="2">
        <f t="shared" si="0"/>
        <v>0</v>
      </c>
      <c r="X23" s="2">
        <f t="shared" si="1"/>
        <v>1</v>
      </c>
      <c r="Y23" s="2">
        <f t="shared" ca="1" si="2"/>
        <v>0</v>
      </c>
      <c r="AA23" s="2">
        <f ca="1">IF(AB23=0,0,COUNTIF(AB$2:AB23,"&gt;0"))</f>
        <v>0</v>
      </c>
      <c r="AB23" s="2">
        <f t="shared" ca="1" si="3"/>
        <v>0</v>
      </c>
      <c r="AC23" s="2">
        <f ca="1">IF(AD23=0,0,COUNTIF(AD$2:AD23,"&gt;0"))</f>
        <v>0</v>
      </c>
      <c r="AD23" s="2">
        <f t="shared" ca="1" si="4"/>
        <v>0</v>
      </c>
      <c r="AF23" s="62"/>
      <c r="AG23" s="62"/>
      <c r="AH23" s="61"/>
      <c r="AI23" s="3">
        <v>2</v>
      </c>
      <c r="AJ23" s="3" t="e">
        <f>P12/L$19</f>
        <v>#DIV/0!</v>
      </c>
      <c r="AK23" s="3" t="e">
        <f>IF(ROUND(AI$2*AJ23,0)+SUM(AK$22:AK22)&gt;AI$2,AI2-SUM(AK$22:AK22),ROUND(AI$2*AJ23,0))</f>
        <v>#DIV/0!</v>
      </c>
      <c r="AL23" s="3">
        <f t="shared" ref="AL23:AM23" si="11">Q12</f>
        <v>0</v>
      </c>
      <c r="AM23" s="3">
        <f t="shared" si="11"/>
        <v>0</v>
      </c>
      <c r="AN23" s="3" t="e">
        <f t="shared" ref="AN23:AN25" ca="1" si="12">IF($AK23&gt;0,RANDBETWEEN($AL23,$AM23),0)</f>
        <v>#DIV/0!</v>
      </c>
      <c r="AO23" s="3" t="e">
        <f t="shared" ca="1" si="9"/>
        <v>#DIV/0!</v>
      </c>
      <c r="AP23" s="3" t="e">
        <f t="shared" ca="1" si="9"/>
        <v>#DIV/0!</v>
      </c>
      <c r="AQ23" s="3" t="e">
        <f t="shared" ca="1" si="9"/>
        <v>#DIV/0!</v>
      </c>
      <c r="AR23" s="3" t="e">
        <f t="shared" ca="1" si="9"/>
        <v>#DIV/0!</v>
      </c>
      <c r="AS23" s="3" t="e">
        <f t="shared" ca="1" si="9"/>
        <v>#DIV/0!</v>
      </c>
      <c r="AT23" s="3" t="e">
        <f t="shared" ca="1" si="9"/>
        <v>#DIV/0!</v>
      </c>
      <c r="AU23" s="3" t="e">
        <f t="shared" ca="1" si="9"/>
        <v>#DIV/0!</v>
      </c>
      <c r="AV23" s="3" t="e">
        <f t="shared" ca="1" si="9"/>
        <v>#DIV/0!</v>
      </c>
      <c r="AW23" s="3" t="e">
        <f t="shared" ca="1" si="9"/>
        <v>#DIV/0!</v>
      </c>
      <c r="AX23" s="3" t="e">
        <f t="shared" ca="1" si="9"/>
        <v>#DIV/0!</v>
      </c>
      <c r="AY23" s="3" t="e">
        <f t="shared" ca="1" si="9"/>
        <v>#DIV/0!</v>
      </c>
      <c r="AZ23" s="3" t="e">
        <f t="shared" ca="1" si="9"/>
        <v>#DIV/0!</v>
      </c>
      <c r="BA23" s="3" t="e">
        <f t="shared" ca="1" si="9"/>
        <v>#DIV/0!</v>
      </c>
      <c r="BB23" s="3" t="e">
        <f t="shared" ca="1" si="9"/>
        <v>#DIV/0!</v>
      </c>
      <c r="BC23" s="3" t="e">
        <f t="shared" ca="1" si="9"/>
        <v>#DIV/0!</v>
      </c>
      <c r="BD23" s="3" t="e">
        <f t="shared" ca="1" si="9"/>
        <v>#DIV/0!</v>
      </c>
      <c r="BE23" s="3" t="e">
        <f t="shared" ca="1" si="9"/>
        <v>#DIV/0!</v>
      </c>
      <c r="BF23" s="3" t="e">
        <f t="shared" ca="1" si="9"/>
        <v>#DIV/0!</v>
      </c>
      <c r="BG23" s="3" t="e">
        <f t="shared" ca="1" si="9"/>
        <v>#DIV/0!</v>
      </c>
      <c r="BH23" s="3" t="e">
        <f t="shared" ca="1" si="9"/>
        <v>#DIV/0!</v>
      </c>
      <c r="BI23" s="2" t="e">
        <f ca="1">IF(COUNTIF($AN23:AN23,AN23)&gt;1,999,AN23)</f>
        <v>#DIV/0!</v>
      </c>
      <c r="BJ23" s="2" t="e">
        <f ca="1">IF(OR(COUNTIF($AN23:AO23,AO23)&gt;1,COUNTIFS($BI23:BI23,"&gt;0",$BI23:BI23,"&lt;999")&gt;=$AK23),999,AO23)</f>
        <v>#DIV/0!</v>
      </c>
      <c r="BK23" s="2" t="e">
        <f ca="1">IF(OR(COUNTIF($AN23:AP23,AP23)&gt;1,COUNTIFS($BI23:BJ23,"&gt;0",$BI23:BJ23,"&lt;999")&gt;=$AK23),999,AP23)</f>
        <v>#DIV/0!</v>
      </c>
      <c r="BL23" s="2" t="e">
        <f ca="1">IF(OR(COUNTIF($AN23:AQ23,AQ23)&gt;1,COUNTIFS($BI23:BK23,"&gt;0",$BI23:BK23,"&lt;999")&gt;=$AK23),999,AQ23)</f>
        <v>#DIV/0!</v>
      </c>
      <c r="BM23" s="2" t="e">
        <f ca="1">IF(OR(COUNTIF($AN23:AR23,AR23)&gt;1,COUNTIFS($BI23:BL23,"&gt;0",$BI23:BL23,"&lt;999")&gt;=$AK23),999,AR23)</f>
        <v>#DIV/0!</v>
      </c>
      <c r="BN23" s="2" t="e">
        <f ca="1">IF(OR(COUNTIF($AN23:AS23,AS23)&gt;1,COUNTIFS($BI23:BM23,"&gt;0",$BI23:BM23,"&lt;999")&gt;=$AK23),999,AS23)</f>
        <v>#DIV/0!</v>
      </c>
      <c r="BO23" s="2" t="e">
        <f ca="1">IF(OR(COUNTIF($AN23:AT23,AT23)&gt;1,COUNTIFS($BI23:BN23,"&gt;0",$BI23:BN23,"&lt;999")&gt;=$AK23),999,AT23)</f>
        <v>#DIV/0!</v>
      </c>
      <c r="BP23" s="2" t="e">
        <f ca="1">IF(OR(COUNTIF($AN23:AU23,AU23)&gt;1,COUNTIFS($BI23:BO23,"&gt;0",$BI23:BO23,"&lt;999")&gt;=$AK23),999,AU23)</f>
        <v>#DIV/0!</v>
      </c>
      <c r="BQ23" s="2" t="e">
        <f ca="1">IF(OR(COUNTIF($AN23:AV23,AV23)&gt;1,COUNTIFS($BI23:BP23,"&gt;0",$BI23:BP23,"&lt;999")&gt;=$AK23),999,AV23)</f>
        <v>#DIV/0!</v>
      </c>
      <c r="BR23" s="2" t="e">
        <f ca="1">IF(OR(COUNTIF($AN23:AW23,AW23)&gt;1,COUNTIFS($BI23:BQ23,"&gt;0",$BI23:BQ23,"&lt;999")&gt;=$AK23),999,AW23)</f>
        <v>#DIV/0!</v>
      </c>
      <c r="BS23" s="2" t="e">
        <f ca="1">IF(OR(COUNTIF($AN23:AX23,AX23)&gt;1,COUNTIFS($BI23:BR23,"&gt;0",$BI23:BR23,"&lt;999")&gt;=$AK23),999,AX23)</f>
        <v>#DIV/0!</v>
      </c>
      <c r="BT23" s="2" t="e">
        <f ca="1">IF(OR(COUNTIF($AN23:AY23,AY23)&gt;1,COUNTIFS($BI23:BS23,"&gt;0",$BI23:BS23,"&lt;999")&gt;=$AK23),999,AY23)</f>
        <v>#DIV/0!</v>
      </c>
      <c r="BU23" s="2" t="e">
        <f ca="1">IF(OR(COUNTIF($AN23:AZ23,AZ23)&gt;1,COUNTIFS($BI23:BT23,"&gt;0",$BI23:BT23,"&lt;999")&gt;=$AK23),999,AZ23)</f>
        <v>#DIV/0!</v>
      </c>
      <c r="BV23" s="2" t="e">
        <f ca="1">IF(OR(COUNTIF($AN23:BA23,BA23)&gt;1,COUNTIFS($BI23:BU23,"&gt;0",$BI23:BU23,"&lt;999")&gt;=$AK23),999,BA23)</f>
        <v>#DIV/0!</v>
      </c>
      <c r="BW23" s="2" t="e">
        <f ca="1">IF(OR(COUNTIF($AN23:BB23,BB23)&gt;1,COUNTIFS($BI23:BV23,"&gt;0",$BI23:BV23,"&lt;999")&gt;=$AK23),999,BB23)</f>
        <v>#DIV/0!</v>
      </c>
      <c r="BX23" s="2" t="e">
        <f ca="1">IF(OR(COUNTIF($AN23:BC23,BC23)&gt;1,COUNTIFS($BI23:BW23,"&gt;0",$BI23:BW23,"&lt;999")&gt;=$AK23),999,BC23)</f>
        <v>#DIV/0!</v>
      </c>
      <c r="BY23" s="2" t="e">
        <f ca="1">IF(OR(COUNTIF($AN23:BD23,BD23)&gt;1,COUNTIFS($BI23:BX23,"&gt;0",$BI23:BX23,"&lt;999")&gt;=$AK23),999,BD23)</f>
        <v>#DIV/0!</v>
      </c>
      <c r="BZ23" s="2" t="e">
        <f ca="1">IF(OR(COUNTIF($AN23:BE23,BE23)&gt;1,COUNTIFS($BI23:BY23,"&gt;0",$BI23:BY23,"&lt;999")&gt;=$AK23),999,BE23)</f>
        <v>#DIV/0!</v>
      </c>
      <c r="CA23" s="2" t="e">
        <f ca="1">IF(OR(COUNTIF($AN23:BF23,BF23)&gt;1,COUNTIFS($BI23:BZ23,"&gt;0",$BI23:BZ23,"&lt;999")&gt;=$AK23),999,BF23)</f>
        <v>#DIV/0!</v>
      </c>
      <c r="CB23" s="2" t="e">
        <f ca="1">IF(OR(COUNTIF($AN23:BG23,BG23)&gt;1,COUNTIFS($BI23:CA23,"&gt;0",$BI23:CA23,"&lt;999")&gt;=$AK23),999,BG23)</f>
        <v>#DIV/0!</v>
      </c>
      <c r="CC23" s="2" t="e">
        <f ca="1">IF(OR(COUNTIF($AN23:BH23,BH23)&gt;1,COUNTIFS($BI23:CB23,"&gt;0",$BI23:CB23,"&lt;999")&gt;=$AK23),999,BH23)</f>
        <v>#DIV/0!</v>
      </c>
      <c r="CD23" s="2" t="e">
        <f t="shared" ref="CD23:CD25" ca="1" si="13">MIN(BI23:CC23)</f>
        <v>#DIV/0!</v>
      </c>
      <c r="CE23" s="2" t="e">
        <f t="shared" ca="1" si="10"/>
        <v>#DIV/0!</v>
      </c>
      <c r="CF23" s="2" t="e">
        <f t="shared" ca="1" si="10"/>
        <v>#DIV/0!</v>
      </c>
      <c r="CG23" s="2" t="str">
        <f t="shared" si="10"/>
        <v/>
      </c>
    </row>
    <row r="24" spans="1:85" s="2" customFormat="1" ht="18.75" thickBot="1">
      <c r="A24" s="25" t="s">
        <v>35</v>
      </c>
      <c r="B24" s="13" t="str">
        <f>IF(OR($F$11="",M24&gt;F$18),"",VLOOKUP(M24,T$3:U$34,2,FALSE))</f>
        <v/>
      </c>
      <c r="C24" s="3" t="s">
        <v>10</v>
      </c>
      <c r="D24" s="13" t="str">
        <f ca="1">IF(B24="","",RAND())</f>
        <v/>
      </c>
      <c r="E24" s="6" t="s">
        <v>7</v>
      </c>
      <c r="F24" s="13" t="str">
        <f>IF(B24="","",B24*D24)</f>
        <v/>
      </c>
      <c r="G24" s="3" t="str">
        <f>IF($A$1="Mile Post","+","+  STA.")</f>
        <v>+  STA.</v>
      </c>
      <c r="H24" s="37" t="str">
        <f>IF(OR($F$11="",M24&gt;F$18),"",IF($A$1="Mile Post",VLOOKUP(M24,T$3:W$34,3,FALSE)+(M24-VLOOKUP(M24,T$3:X$34,5,FALSE))*B24,VLOOKUP(M24,T$3:W$34,3,FALSE)+(M24-VLOOKUP(M24,T$3:X$34,5,FALSE))*B24/100))</f>
        <v/>
      </c>
      <c r="I24" s="38" t="s">
        <v>7</v>
      </c>
      <c r="J24" s="113" t="str">
        <f>IF($A$1="Mile Post", "MILE POST", "STATION")</f>
        <v>STATION</v>
      </c>
      <c r="K24" s="114"/>
      <c r="L24" s="28" t="str">
        <f>IF(F24="","",IF($A$1="Mile Post",H24+F24,H24+(F24/100)))</f>
        <v/>
      </c>
      <c r="M24" s="2">
        <v>1</v>
      </c>
      <c r="N24" s="2">
        <f ca="1">IF(OR(AG24="",L$18=0),0,1)</f>
        <v>0</v>
      </c>
      <c r="T24" s="2">
        <f t="shared" si="5"/>
        <v>22</v>
      </c>
      <c r="U24" s="2" t="e">
        <f t="shared" si="8"/>
        <v>#DIV/0!</v>
      </c>
      <c r="V24" s="2">
        <f t="shared" si="7"/>
        <v>0</v>
      </c>
      <c r="W24" s="2">
        <f t="shared" si="0"/>
        <v>0</v>
      </c>
      <c r="X24" s="2">
        <f t="shared" si="1"/>
        <v>1</v>
      </c>
      <c r="Y24" s="2">
        <f t="shared" ca="1" si="2"/>
        <v>0</v>
      </c>
      <c r="AA24" s="2">
        <f ca="1">IF(AB24=0,0,COUNTIF(AB$2:AB24,"&gt;0"))</f>
        <v>0</v>
      </c>
      <c r="AB24" s="2">
        <f t="shared" ca="1" si="3"/>
        <v>0</v>
      </c>
      <c r="AC24" s="2">
        <f ca="1">IF(AD24=0,0,COUNTIF(AD$2:AD24,"&gt;0"))</f>
        <v>0</v>
      </c>
      <c r="AD24" s="2">
        <f t="shared" ca="1" si="4"/>
        <v>0</v>
      </c>
      <c r="AE24" s="2">
        <f ca="1">OFFSET(Y$2,MATCH(M24,T$3:T$34,0),0)</f>
        <v>0</v>
      </c>
      <c r="AF24" s="61"/>
      <c r="AG24" s="61" t="str">
        <f ca="1">IF(OFFSET(AC$2,M24,0)&gt;0,CONCATENATE("Joint Core # ",TEXT(OFFSET(AC$2,M24,0),"0")),"")</f>
        <v/>
      </c>
      <c r="AH24" s="61"/>
      <c r="AI24" s="3">
        <v>3</v>
      </c>
      <c r="AJ24" s="3" t="e">
        <f>P13/L$19</f>
        <v>#DIV/0!</v>
      </c>
      <c r="AK24" s="3" t="e">
        <f>IF(ROUND(AI$2*AJ24,0)+SUM(AK$22:AK23)&gt;AI$2,AI3-SUM(AK$22:AK23),ROUND(AI$2*AJ24,0))</f>
        <v>#DIV/0!</v>
      </c>
      <c r="AL24" s="3">
        <f t="shared" ref="AL24:AM24" si="14">Q13</f>
        <v>0</v>
      </c>
      <c r="AM24" s="3">
        <f t="shared" si="14"/>
        <v>0</v>
      </c>
      <c r="AN24" s="3" t="e">
        <f t="shared" ca="1" si="12"/>
        <v>#DIV/0!</v>
      </c>
      <c r="AO24" s="3" t="e">
        <f t="shared" ca="1" si="9"/>
        <v>#DIV/0!</v>
      </c>
      <c r="AP24" s="3" t="e">
        <f t="shared" ca="1" si="9"/>
        <v>#DIV/0!</v>
      </c>
      <c r="AQ24" s="3" t="e">
        <f t="shared" ca="1" si="9"/>
        <v>#DIV/0!</v>
      </c>
      <c r="AR24" s="3" t="e">
        <f t="shared" ca="1" si="9"/>
        <v>#DIV/0!</v>
      </c>
      <c r="AS24" s="3" t="e">
        <f t="shared" ca="1" si="9"/>
        <v>#DIV/0!</v>
      </c>
      <c r="AT24" s="3" t="e">
        <f t="shared" ca="1" si="9"/>
        <v>#DIV/0!</v>
      </c>
      <c r="AU24" s="3" t="e">
        <f t="shared" ca="1" si="9"/>
        <v>#DIV/0!</v>
      </c>
      <c r="AV24" s="3" t="e">
        <f t="shared" ca="1" si="9"/>
        <v>#DIV/0!</v>
      </c>
      <c r="AW24" s="3" t="e">
        <f t="shared" ca="1" si="9"/>
        <v>#DIV/0!</v>
      </c>
      <c r="AX24" s="3" t="e">
        <f t="shared" ca="1" si="9"/>
        <v>#DIV/0!</v>
      </c>
      <c r="AY24" s="3" t="e">
        <f t="shared" ca="1" si="9"/>
        <v>#DIV/0!</v>
      </c>
      <c r="AZ24" s="3" t="e">
        <f t="shared" ca="1" si="9"/>
        <v>#DIV/0!</v>
      </c>
      <c r="BA24" s="3" t="e">
        <f t="shared" ca="1" si="9"/>
        <v>#DIV/0!</v>
      </c>
      <c r="BB24" s="3" t="e">
        <f t="shared" ca="1" si="9"/>
        <v>#DIV/0!</v>
      </c>
      <c r="BC24" s="3" t="e">
        <f t="shared" ca="1" si="9"/>
        <v>#DIV/0!</v>
      </c>
      <c r="BD24" s="3" t="e">
        <f t="shared" ca="1" si="9"/>
        <v>#DIV/0!</v>
      </c>
      <c r="BE24" s="3" t="e">
        <f t="shared" ca="1" si="9"/>
        <v>#DIV/0!</v>
      </c>
      <c r="BF24" s="3" t="e">
        <f t="shared" ca="1" si="9"/>
        <v>#DIV/0!</v>
      </c>
      <c r="BG24" s="3" t="e">
        <f t="shared" ca="1" si="9"/>
        <v>#DIV/0!</v>
      </c>
      <c r="BH24" s="3" t="e">
        <f t="shared" ca="1" si="9"/>
        <v>#DIV/0!</v>
      </c>
      <c r="BI24" s="2" t="e">
        <f ca="1">IF(COUNTIF($AN24:AN24,AN24)&gt;1,999,AN24)</f>
        <v>#DIV/0!</v>
      </c>
      <c r="BJ24" s="2" t="e">
        <f ca="1">IF(OR(COUNTIF($AN24:AO24,AO24)&gt;1,COUNTIFS($BI24:BI24,"&gt;0",$BI24:BI24,"&lt;999")&gt;=$AK24),999,AO24)</f>
        <v>#DIV/0!</v>
      </c>
      <c r="BK24" s="2" t="e">
        <f ca="1">IF(OR(COUNTIF($AN24:AP24,AP24)&gt;1,COUNTIFS($BI24:BJ24,"&gt;0",$BI24:BJ24,"&lt;999")&gt;=$AK24),999,AP24)</f>
        <v>#DIV/0!</v>
      </c>
      <c r="BL24" s="2" t="e">
        <f ca="1">IF(OR(COUNTIF($AN24:AQ24,AQ24)&gt;1,COUNTIFS($BI24:BK24,"&gt;0",$BI24:BK24,"&lt;999")&gt;=$AK24),999,AQ24)</f>
        <v>#DIV/0!</v>
      </c>
      <c r="BM24" s="2" t="e">
        <f ca="1">IF(OR(COUNTIF($AN24:AR24,AR24)&gt;1,COUNTIFS($BI24:BL24,"&gt;0",$BI24:BL24,"&lt;999")&gt;=$AK24),999,AR24)</f>
        <v>#DIV/0!</v>
      </c>
      <c r="BN24" s="2" t="e">
        <f ca="1">IF(OR(COUNTIF($AN24:AS24,AS24)&gt;1,COUNTIFS($BI24:BM24,"&gt;0",$BI24:BM24,"&lt;999")&gt;=$AK24),999,AS24)</f>
        <v>#DIV/0!</v>
      </c>
      <c r="BO24" s="2" t="e">
        <f ca="1">IF(OR(COUNTIF($AN24:AT24,AT24)&gt;1,COUNTIFS($BI24:BN24,"&gt;0",$BI24:BN24,"&lt;999")&gt;=$AK24),999,AT24)</f>
        <v>#DIV/0!</v>
      </c>
      <c r="BP24" s="2" t="e">
        <f ca="1">IF(OR(COUNTIF($AN24:AU24,AU24)&gt;1,COUNTIFS($BI24:BO24,"&gt;0",$BI24:BO24,"&lt;999")&gt;=$AK24),999,AU24)</f>
        <v>#DIV/0!</v>
      </c>
      <c r="BQ24" s="2" t="e">
        <f ca="1">IF(OR(COUNTIF($AN24:AV24,AV24)&gt;1,COUNTIFS($BI24:BP24,"&gt;0",$BI24:BP24,"&lt;999")&gt;=$AK24),999,AV24)</f>
        <v>#DIV/0!</v>
      </c>
      <c r="BR24" s="2" t="e">
        <f ca="1">IF(OR(COUNTIF($AN24:AW24,AW24)&gt;1,COUNTIFS($BI24:BQ24,"&gt;0",$BI24:BQ24,"&lt;999")&gt;=$AK24),999,AW24)</f>
        <v>#DIV/0!</v>
      </c>
      <c r="BS24" s="2" t="e">
        <f ca="1">IF(OR(COUNTIF($AN24:AX24,AX24)&gt;1,COUNTIFS($BI24:BR24,"&gt;0",$BI24:BR24,"&lt;999")&gt;=$AK24),999,AX24)</f>
        <v>#DIV/0!</v>
      </c>
      <c r="BT24" s="2" t="e">
        <f ca="1">IF(OR(COUNTIF($AN24:AY24,AY24)&gt;1,COUNTIFS($BI24:BS24,"&gt;0",$BI24:BS24,"&lt;999")&gt;=$AK24),999,AY24)</f>
        <v>#DIV/0!</v>
      </c>
      <c r="BU24" s="2" t="e">
        <f ca="1">IF(OR(COUNTIF($AN24:AZ24,AZ24)&gt;1,COUNTIFS($BI24:BT24,"&gt;0",$BI24:BT24,"&lt;999")&gt;=$AK24),999,AZ24)</f>
        <v>#DIV/0!</v>
      </c>
      <c r="BV24" s="2" t="e">
        <f ca="1">IF(OR(COUNTIF($AN24:BA24,BA24)&gt;1,COUNTIFS($BI24:BU24,"&gt;0",$BI24:BU24,"&lt;999")&gt;=$AK24),999,BA24)</f>
        <v>#DIV/0!</v>
      </c>
      <c r="BW24" s="2" t="e">
        <f ca="1">IF(OR(COUNTIF($AN24:BB24,BB24)&gt;1,COUNTIFS($BI24:BV24,"&gt;0",$BI24:BV24,"&lt;999")&gt;=$AK24),999,BB24)</f>
        <v>#DIV/0!</v>
      </c>
      <c r="BX24" s="2" t="e">
        <f ca="1">IF(OR(COUNTIF($AN24:BC24,BC24)&gt;1,COUNTIFS($BI24:BW24,"&gt;0",$BI24:BW24,"&lt;999")&gt;=$AK24),999,BC24)</f>
        <v>#DIV/0!</v>
      </c>
      <c r="BY24" s="2" t="e">
        <f ca="1">IF(OR(COUNTIF($AN24:BD24,BD24)&gt;1,COUNTIFS($BI24:BX24,"&gt;0",$BI24:BX24,"&lt;999")&gt;=$AK24),999,BD24)</f>
        <v>#DIV/0!</v>
      </c>
      <c r="BZ24" s="2" t="e">
        <f ca="1">IF(OR(COUNTIF($AN24:BE24,BE24)&gt;1,COUNTIFS($BI24:BY24,"&gt;0",$BI24:BY24,"&lt;999")&gt;=$AK24),999,BE24)</f>
        <v>#DIV/0!</v>
      </c>
      <c r="CA24" s="2" t="e">
        <f ca="1">IF(OR(COUNTIF($AN24:BF24,BF24)&gt;1,COUNTIFS($BI24:BZ24,"&gt;0",$BI24:BZ24,"&lt;999")&gt;=$AK24),999,BF24)</f>
        <v>#DIV/0!</v>
      </c>
      <c r="CB24" s="2" t="e">
        <f ca="1">IF(OR(COUNTIF($AN24:BG24,BG24)&gt;1,COUNTIFS($BI24:CA24,"&gt;0",$BI24:CA24,"&lt;999")&gt;=$AK24),999,BG24)</f>
        <v>#DIV/0!</v>
      </c>
      <c r="CC24" s="2" t="e">
        <f ca="1">IF(OR(COUNTIF($AN24:BH24,BH24)&gt;1,COUNTIFS($BI24:CB24,"&gt;0",$BI24:CB24,"&lt;999")&gt;=$AK24),999,BH24)</f>
        <v>#DIV/0!</v>
      </c>
      <c r="CD24" s="2" t="e">
        <f t="shared" ca="1" si="13"/>
        <v>#DIV/0!</v>
      </c>
      <c r="CE24" s="2" t="e">
        <f t="shared" ca="1" si="10"/>
        <v>#DIV/0!</v>
      </c>
      <c r="CF24" s="2" t="e">
        <f t="shared" ca="1" si="10"/>
        <v>#DIV/0!</v>
      </c>
      <c r="CG24" s="2" t="str">
        <f t="shared" si="10"/>
        <v/>
      </c>
    </row>
    <row r="25" spans="1:85" s="2" customFormat="1" ht="12" customHeight="1" thickTop="1">
      <c r="B25" s="15"/>
      <c r="C25" s="3"/>
      <c r="D25" s="16"/>
      <c r="E25" s="6"/>
      <c r="F25" s="15"/>
      <c r="G25" s="3"/>
      <c r="I25" s="3"/>
      <c r="J25" s="3"/>
      <c r="K25" s="14"/>
      <c r="L25" s="54"/>
      <c r="T25" s="2">
        <f t="shared" si="5"/>
        <v>23</v>
      </c>
      <c r="U25" s="2" t="e">
        <f t="shared" si="8"/>
        <v>#DIV/0!</v>
      </c>
      <c r="V25" s="2">
        <f t="shared" si="7"/>
        <v>0</v>
      </c>
      <c r="W25" s="2">
        <f t="shared" si="0"/>
        <v>0</v>
      </c>
      <c r="X25" s="2">
        <f t="shared" si="1"/>
        <v>1</v>
      </c>
      <c r="Y25" s="2">
        <f t="shared" ca="1" si="2"/>
        <v>0</v>
      </c>
      <c r="AA25" s="2">
        <f ca="1">IF(AB25=0,0,COUNTIF(AB$2:AB25,"&gt;0"))</f>
        <v>0</v>
      </c>
      <c r="AB25" s="2">
        <f t="shared" ca="1" si="3"/>
        <v>0</v>
      </c>
      <c r="AC25" s="2">
        <f ca="1">IF(AD25=0,0,COUNTIF(AD$2:AD25,"&gt;0"))</f>
        <v>0</v>
      </c>
      <c r="AD25" s="2">
        <f t="shared" ca="1" si="4"/>
        <v>0</v>
      </c>
      <c r="AF25" s="61"/>
      <c r="AG25" s="61"/>
      <c r="AH25" s="61"/>
      <c r="AI25" s="3">
        <v>4</v>
      </c>
      <c r="AJ25" s="3" t="e">
        <f>P14/L$19</f>
        <v>#DIV/0!</v>
      </c>
      <c r="AK25" s="3" t="e">
        <f>IF(ROUND(AI$2*AJ25,0)+SUM(AK$22:AK24)&gt;AI$2,AI4-SUM(AK$22:AK24),ROUND(AI$2*AJ25,0))</f>
        <v>#DIV/0!</v>
      </c>
      <c r="AL25" s="3">
        <f t="shared" ref="AL25:AM25" si="15">Q14</f>
        <v>0</v>
      </c>
      <c r="AM25" s="3">
        <f t="shared" si="15"/>
        <v>0</v>
      </c>
      <c r="AN25" s="3" t="e">
        <f t="shared" ca="1" si="12"/>
        <v>#DIV/0!</v>
      </c>
      <c r="AO25" s="3" t="e">
        <f t="shared" ca="1" si="9"/>
        <v>#DIV/0!</v>
      </c>
      <c r="AP25" s="3" t="e">
        <f t="shared" ca="1" si="9"/>
        <v>#DIV/0!</v>
      </c>
      <c r="AQ25" s="3" t="e">
        <f t="shared" ca="1" si="9"/>
        <v>#DIV/0!</v>
      </c>
      <c r="AR25" s="3" t="e">
        <f t="shared" ca="1" si="9"/>
        <v>#DIV/0!</v>
      </c>
      <c r="AS25" s="3" t="e">
        <f t="shared" ca="1" si="9"/>
        <v>#DIV/0!</v>
      </c>
      <c r="AT25" s="3" t="e">
        <f t="shared" ca="1" si="9"/>
        <v>#DIV/0!</v>
      </c>
      <c r="AU25" s="3" t="e">
        <f t="shared" ca="1" si="9"/>
        <v>#DIV/0!</v>
      </c>
      <c r="AV25" s="3" t="e">
        <f t="shared" ca="1" si="9"/>
        <v>#DIV/0!</v>
      </c>
      <c r="AW25" s="3" t="e">
        <f t="shared" ca="1" si="9"/>
        <v>#DIV/0!</v>
      </c>
      <c r="AX25" s="3" t="e">
        <f t="shared" ca="1" si="9"/>
        <v>#DIV/0!</v>
      </c>
      <c r="AY25" s="3" t="e">
        <f t="shared" ca="1" si="9"/>
        <v>#DIV/0!</v>
      </c>
      <c r="AZ25" s="3" t="e">
        <f t="shared" ca="1" si="9"/>
        <v>#DIV/0!</v>
      </c>
      <c r="BA25" s="3" t="e">
        <f t="shared" ca="1" si="9"/>
        <v>#DIV/0!</v>
      </c>
      <c r="BB25" s="3" t="e">
        <f t="shared" ca="1" si="9"/>
        <v>#DIV/0!</v>
      </c>
      <c r="BC25" s="3" t="e">
        <f t="shared" ca="1" si="9"/>
        <v>#DIV/0!</v>
      </c>
      <c r="BD25" s="3" t="e">
        <f t="shared" ca="1" si="9"/>
        <v>#DIV/0!</v>
      </c>
      <c r="BE25" s="3" t="e">
        <f t="shared" ca="1" si="9"/>
        <v>#DIV/0!</v>
      </c>
      <c r="BF25" s="3" t="e">
        <f t="shared" ca="1" si="9"/>
        <v>#DIV/0!</v>
      </c>
      <c r="BG25" s="3" t="e">
        <f t="shared" ca="1" si="9"/>
        <v>#DIV/0!</v>
      </c>
      <c r="BH25" s="3" t="e">
        <f t="shared" ca="1" si="9"/>
        <v>#DIV/0!</v>
      </c>
      <c r="BI25" s="2" t="e">
        <f ca="1">IF(COUNTIF($AN25:AN25,AN25)&gt;1,999,AN25)</f>
        <v>#DIV/0!</v>
      </c>
      <c r="BJ25" s="2" t="e">
        <f ca="1">IF(OR(COUNTIF($AN25:AO25,AO25)&gt;1,COUNTIFS($BI25:BI25,"&gt;0",$BI25:BI25,"&lt;999")&gt;=$AK25),999,AO25)</f>
        <v>#DIV/0!</v>
      </c>
      <c r="BK25" s="2" t="e">
        <f ca="1">IF(OR(COUNTIF($AN25:AP25,AP25)&gt;1,COUNTIFS($BI25:BJ25,"&gt;0",$BI25:BJ25,"&lt;999")&gt;=$AK25),999,AP25)</f>
        <v>#DIV/0!</v>
      </c>
      <c r="BL25" s="2" t="e">
        <f ca="1">IF(OR(COUNTIF($AN25:AQ25,AQ25)&gt;1,COUNTIFS($BI25:BK25,"&gt;0",$BI25:BK25,"&lt;999")&gt;=$AK25),999,AQ25)</f>
        <v>#DIV/0!</v>
      </c>
      <c r="BM25" s="2" t="e">
        <f ca="1">IF(OR(COUNTIF($AN25:AR25,AR25)&gt;1,COUNTIFS($BI25:BL25,"&gt;0",$BI25:BL25,"&lt;999")&gt;=$AK25),999,AR25)</f>
        <v>#DIV/0!</v>
      </c>
      <c r="BN25" s="2" t="e">
        <f ca="1">IF(OR(COUNTIF($AN25:AS25,AS25)&gt;1,COUNTIFS($BI25:BM25,"&gt;0",$BI25:BM25,"&lt;999")&gt;=$AK25),999,AS25)</f>
        <v>#DIV/0!</v>
      </c>
      <c r="BO25" s="2" t="e">
        <f ca="1">IF(OR(COUNTIF($AN25:AT25,AT25)&gt;1,COUNTIFS($BI25:BN25,"&gt;0",$BI25:BN25,"&lt;999")&gt;=$AK25),999,AT25)</f>
        <v>#DIV/0!</v>
      </c>
      <c r="BP25" s="2" t="e">
        <f ca="1">IF(OR(COUNTIF($AN25:AU25,AU25)&gt;1,COUNTIFS($BI25:BO25,"&gt;0",$BI25:BO25,"&lt;999")&gt;=$AK25),999,AU25)</f>
        <v>#DIV/0!</v>
      </c>
      <c r="BQ25" s="2" t="e">
        <f ca="1">IF(OR(COUNTIF($AN25:AV25,AV25)&gt;1,COUNTIFS($BI25:BP25,"&gt;0",$BI25:BP25,"&lt;999")&gt;=$AK25),999,AV25)</f>
        <v>#DIV/0!</v>
      </c>
      <c r="BR25" s="2" t="e">
        <f ca="1">IF(OR(COUNTIF($AN25:AW25,AW25)&gt;1,COUNTIFS($BI25:BQ25,"&gt;0",$BI25:BQ25,"&lt;999")&gt;=$AK25),999,AW25)</f>
        <v>#DIV/0!</v>
      </c>
      <c r="BS25" s="2" t="e">
        <f ca="1">IF(OR(COUNTIF($AN25:AX25,AX25)&gt;1,COUNTIFS($BI25:BR25,"&gt;0",$BI25:BR25,"&lt;999")&gt;=$AK25),999,AX25)</f>
        <v>#DIV/0!</v>
      </c>
      <c r="BT25" s="2" t="e">
        <f ca="1">IF(OR(COUNTIF($AN25:AY25,AY25)&gt;1,COUNTIFS($BI25:BS25,"&gt;0",$BI25:BS25,"&lt;999")&gt;=$AK25),999,AY25)</f>
        <v>#DIV/0!</v>
      </c>
      <c r="BU25" s="2" t="e">
        <f ca="1">IF(OR(COUNTIF($AN25:AZ25,AZ25)&gt;1,COUNTIFS($BI25:BT25,"&gt;0",$BI25:BT25,"&lt;999")&gt;=$AK25),999,AZ25)</f>
        <v>#DIV/0!</v>
      </c>
      <c r="BV25" s="2" t="e">
        <f ca="1">IF(OR(COUNTIF($AN25:BA25,BA25)&gt;1,COUNTIFS($BI25:BU25,"&gt;0",$BI25:BU25,"&lt;999")&gt;=$AK25),999,BA25)</f>
        <v>#DIV/0!</v>
      </c>
      <c r="BW25" s="2" t="e">
        <f ca="1">IF(OR(COUNTIF($AN25:BB25,BB25)&gt;1,COUNTIFS($BI25:BV25,"&gt;0",$BI25:BV25,"&lt;999")&gt;=$AK25),999,BB25)</f>
        <v>#DIV/0!</v>
      </c>
      <c r="BX25" s="2" t="e">
        <f ca="1">IF(OR(COUNTIF($AN25:BC25,BC25)&gt;1,COUNTIFS($BI25:BW25,"&gt;0",$BI25:BW25,"&lt;999")&gt;=$AK25),999,BC25)</f>
        <v>#DIV/0!</v>
      </c>
      <c r="BY25" s="2" t="e">
        <f ca="1">IF(OR(COUNTIF($AN25:BD25,BD25)&gt;1,COUNTIFS($BI25:BX25,"&gt;0",$BI25:BX25,"&lt;999")&gt;=$AK25),999,BD25)</f>
        <v>#DIV/0!</v>
      </c>
      <c r="BZ25" s="2" t="e">
        <f ca="1">IF(OR(COUNTIF($AN25:BE25,BE25)&gt;1,COUNTIFS($BI25:BY25,"&gt;0",$BI25:BY25,"&lt;999")&gt;=$AK25),999,BE25)</f>
        <v>#DIV/0!</v>
      </c>
      <c r="CA25" s="2" t="e">
        <f ca="1">IF(OR(COUNTIF($AN25:BF25,BF25)&gt;1,COUNTIFS($BI25:BZ25,"&gt;0",$BI25:BZ25,"&lt;999")&gt;=$AK25),999,BF25)</f>
        <v>#DIV/0!</v>
      </c>
      <c r="CB25" s="2" t="e">
        <f ca="1">IF(OR(COUNTIF($AN25:BG25,BG25)&gt;1,COUNTIFS($BI25:CA25,"&gt;0",$BI25:CA25,"&lt;999")&gt;=$AK25),999,BG25)</f>
        <v>#DIV/0!</v>
      </c>
      <c r="CC25" s="2" t="e">
        <f ca="1">IF(OR(COUNTIF($AN25:BH25,BH25)&gt;1,COUNTIFS($BI25:CB25,"&gt;0",$BI25:CB25,"&lt;999")&gt;=$AK25),999,BH25)</f>
        <v>#DIV/0!</v>
      </c>
      <c r="CD25" s="2" t="e">
        <f t="shared" ca="1" si="13"/>
        <v>#DIV/0!</v>
      </c>
      <c r="CE25" s="2" t="e">
        <f t="shared" ca="1" si="10"/>
        <v>#DIV/0!</v>
      </c>
      <c r="CF25" s="2" t="e">
        <f t="shared" ca="1" si="10"/>
        <v>#DIV/0!</v>
      </c>
      <c r="CG25" s="2" t="str">
        <f t="shared" si="10"/>
        <v/>
      </c>
    </row>
    <row r="26" spans="1:85" s="2" customFormat="1" ht="18.75" thickBot="1">
      <c r="A26" s="11"/>
      <c r="B26" s="7" t="str">
        <f>IF($J$6="","",$J$6)</f>
        <v/>
      </c>
      <c r="C26" s="3" t="s">
        <v>10</v>
      </c>
      <c r="D26" s="13" t="str">
        <f ca="1">IF(B26="","",RAND()*IF(J$6&lt;22,1,IF(RANDBETWEEN(0,1)=0,-1,1)))</f>
        <v/>
      </c>
      <c r="E26" s="6" t="s">
        <v>7</v>
      </c>
      <c r="F26" s="30" t="str">
        <f>IF(B26="","",IF(AND(ABS(B26*D26)&gt;(B26-1),AK8=""),B26-1,IF(ABS(B26*D26)&lt;1,1,B26*D26)))</f>
        <v/>
      </c>
      <c r="G26" s="36" t="s">
        <v>42</v>
      </c>
      <c r="H26" s="2" t="str">
        <f>IF(J$6&gt;21,IF(F26&lt;0,"(Offset Left)","(Offset Right)"),"(Offset)")</f>
        <v>(Offset)</v>
      </c>
      <c r="I26" s="6"/>
      <c r="J26" s="11" t="str">
        <f>IF(B26="","",IF(AND(ABS(B26*D26)&gt;(B26-1),AK$8=""),CONCATENATE(TEXT(B26-1,"0.0")," FT. max"),IF(ABS(B26*D26)&lt;1,"1 FT. min","")))</f>
        <v/>
      </c>
      <c r="L26" s="54"/>
      <c r="T26" s="2">
        <f t="shared" si="5"/>
        <v>24</v>
      </c>
      <c r="U26" s="2" t="e">
        <f t="shared" si="8"/>
        <v>#DIV/0!</v>
      </c>
      <c r="V26" s="2">
        <f t="shared" si="7"/>
        <v>0</v>
      </c>
      <c r="W26" s="2">
        <f t="shared" si="0"/>
        <v>0</v>
      </c>
      <c r="X26" s="2">
        <f t="shared" si="1"/>
        <v>1</v>
      </c>
      <c r="Y26" s="2">
        <f t="shared" ca="1" si="2"/>
        <v>0</v>
      </c>
      <c r="AA26" s="2">
        <f ca="1">IF(AB26=0,0,COUNTIF(AB$2:AB26,"&gt;0"))</f>
        <v>0</v>
      </c>
      <c r="AB26" s="2">
        <f t="shared" ca="1" si="3"/>
        <v>0</v>
      </c>
      <c r="AC26" s="2">
        <f ca="1">IF(AD26=0,0,COUNTIF(AD$2:AD26,"&gt;0"))</f>
        <v>0</v>
      </c>
      <c r="AD26" s="2">
        <f t="shared" ca="1" si="4"/>
        <v>0</v>
      </c>
      <c r="AF26" s="61"/>
      <c r="AG26" s="61"/>
      <c r="AH26" s="61"/>
      <c r="AI26" s="3"/>
      <c r="AJ26" s="3"/>
      <c r="AK26" s="3" t="e">
        <f>SUM(AK22:AK25)</f>
        <v>#DIV/0!</v>
      </c>
      <c r="AL26" s="3"/>
      <c r="AM26" s="3"/>
      <c r="AN26" s="3"/>
      <c r="AO26" s="3"/>
      <c r="AP26" s="3"/>
      <c r="AQ26" s="3"/>
    </row>
    <row r="27" spans="1:85" s="2" customFormat="1" ht="15" customHeight="1" thickTop="1">
      <c r="A27" s="11"/>
      <c r="B27" s="3"/>
      <c r="C27" s="3"/>
      <c r="D27" s="3"/>
      <c r="E27" s="6"/>
      <c r="F27" s="3"/>
      <c r="G27" s="3"/>
      <c r="I27" s="3"/>
      <c r="J27" s="3"/>
      <c r="K27" s="4"/>
      <c r="L27" s="54"/>
      <c r="T27" s="2">
        <f t="shared" si="5"/>
        <v>25</v>
      </c>
      <c r="U27" s="2" t="e">
        <f t="shared" si="8"/>
        <v>#DIV/0!</v>
      </c>
      <c r="V27" s="2">
        <f t="shared" si="7"/>
        <v>0</v>
      </c>
      <c r="W27" s="2">
        <f t="shared" si="0"/>
        <v>0</v>
      </c>
      <c r="X27" s="2">
        <f t="shared" si="1"/>
        <v>1</v>
      </c>
      <c r="Y27" s="2">
        <f t="shared" ca="1" si="2"/>
        <v>0</v>
      </c>
      <c r="AA27" s="2">
        <f ca="1">IF(AB27=0,0,COUNTIF(AB$2:AB27,"&gt;0"))</f>
        <v>0</v>
      </c>
      <c r="AB27" s="2">
        <f t="shared" ca="1" si="3"/>
        <v>0</v>
      </c>
      <c r="AC27" s="2">
        <f ca="1">IF(AD27=0,0,COUNTIF(AD$2:AD27,"&gt;0"))</f>
        <v>0</v>
      </c>
      <c r="AD27" s="2">
        <f t="shared" ca="1" si="4"/>
        <v>0</v>
      </c>
      <c r="AF27" s="61"/>
      <c r="AG27" s="61"/>
      <c r="AH27" s="61"/>
      <c r="AI27" s="3"/>
      <c r="AJ27" s="3"/>
      <c r="AK27" s="3"/>
      <c r="AL27" s="3"/>
      <c r="AM27" s="3"/>
      <c r="AN27" s="3"/>
      <c r="AO27" s="3"/>
      <c r="AP27" s="3"/>
      <c r="AQ27" s="3"/>
    </row>
    <row r="28" spans="1:85" s="2" customFormat="1" ht="18">
      <c r="A28" s="11"/>
      <c r="B28" s="3"/>
      <c r="D28" s="3" t="s">
        <v>17</v>
      </c>
      <c r="E28" s="6"/>
      <c r="F28" s="3"/>
      <c r="G28" s="3"/>
      <c r="I28" s="3"/>
      <c r="J28" s="3"/>
      <c r="K28" s="4"/>
      <c r="L28" s="54"/>
      <c r="T28" s="2">
        <f t="shared" si="5"/>
        <v>26</v>
      </c>
      <c r="U28" s="2" t="e">
        <f t="shared" si="8"/>
        <v>#DIV/0!</v>
      </c>
      <c r="V28" s="2">
        <f t="shared" si="7"/>
        <v>0</v>
      </c>
      <c r="W28" s="2">
        <f t="shared" si="0"/>
        <v>0</v>
      </c>
      <c r="X28" s="2">
        <f t="shared" si="1"/>
        <v>1</v>
      </c>
      <c r="Y28" s="2">
        <f t="shared" ca="1" si="2"/>
        <v>0</v>
      </c>
      <c r="AA28" s="2">
        <f ca="1">IF(AB28=0,0,COUNTIF(AB$2:AB28,"&gt;0"))</f>
        <v>0</v>
      </c>
      <c r="AB28" s="2">
        <f t="shared" ca="1" si="3"/>
        <v>0</v>
      </c>
      <c r="AC28" s="2">
        <f ca="1">IF(AD28=0,0,COUNTIF(AD$2:AD28,"&gt;0"))</f>
        <v>0</v>
      </c>
      <c r="AD28" s="2">
        <f t="shared" ca="1" si="4"/>
        <v>0</v>
      </c>
      <c r="AF28" s="62"/>
      <c r="AG28" s="62"/>
      <c r="AH28" s="61"/>
      <c r="AI28" s="3">
        <v>1</v>
      </c>
      <c r="AJ28" s="3"/>
      <c r="AK28" s="3" t="e">
        <f ca="1">IF($U$1=1,IF(AND($AJ22&gt;0,$AK22=0,$AL22&gt;0),$AI$2-SUM($AB$3:$AB$34),AK22),0)</f>
        <v>#DIV/0!</v>
      </c>
      <c r="AL28" s="3" t="e">
        <f ca="1">IF($U$1=1,IF(AND($AJ22&gt;0,$AK22=0,$AL22&gt;0),$AI$2-SUM($AB$3:$AB$34),AL22),0)</f>
        <v>#DIV/0!</v>
      </c>
      <c r="AM28" s="3" t="e">
        <f ca="1">IF($U$1=1,IF(AND($AJ22&gt;0,$AK22=0,$AL22&gt;0),$AI$2-SUM($AB$3:$AB$34),AM22),0)</f>
        <v>#DIV/0!</v>
      </c>
      <c r="AN28" s="3" t="e">
        <f ca="1">IF($AK28&gt;0,RANDBETWEEN($AL28,$AM28),0)</f>
        <v>#DIV/0!</v>
      </c>
      <c r="AO28" s="3" t="e">
        <f t="shared" ref="AO28:BH31" ca="1" si="16">IF($AK28&gt;0,RANDBETWEEN($AL28,$AM28),0)</f>
        <v>#DIV/0!</v>
      </c>
      <c r="AP28" s="3" t="e">
        <f t="shared" ca="1" si="16"/>
        <v>#DIV/0!</v>
      </c>
      <c r="AQ28" s="3" t="e">
        <f t="shared" ca="1" si="16"/>
        <v>#DIV/0!</v>
      </c>
      <c r="AR28" s="3" t="e">
        <f t="shared" ca="1" si="16"/>
        <v>#DIV/0!</v>
      </c>
      <c r="AS28" s="3" t="e">
        <f t="shared" ca="1" si="16"/>
        <v>#DIV/0!</v>
      </c>
      <c r="AT28" s="3" t="e">
        <f t="shared" ca="1" si="16"/>
        <v>#DIV/0!</v>
      </c>
      <c r="AU28" s="3" t="e">
        <f t="shared" ca="1" si="16"/>
        <v>#DIV/0!</v>
      </c>
      <c r="AV28" s="3" t="e">
        <f t="shared" ca="1" si="16"/>
        <v>#DIV/0!</v>
      </c>
      <c r="AW28" s="3" t="e">
        <f t="shared" ca="1" si="16"/>
        <v>#DIV/0!</v>
      </c>
      <c r="AX28" s="3" t="e">
        <f t="shared" ca="1" si="16"/>
        <v>#DIV/0!</v>
      </c>
      <c r="AY28" s="3" t="e">
        <f t="shared" ca="1" si="16"/>
        <v>#DIV/0!</v>
      </c>
      <c r="AZ28" s="3" t="e">
        <f t="shared" ca="1" si="16"/>
        <v>#DIV/0!</v>
      </c>
      <c r="BA28" s="3" t="e">
        <f t="shared" ca="1" si="16"/>
        <v>#DIV/0!</v>
      </c>
      <c r="BB28" s="3" t="e">
        <f t="shared" ca="1" si="16"/>
        <v>#DIV/0!</v>
      </c>
      <c r="BC28" s="3" t="e">
        <f t="shared" ca="1" si="16"/>
        <v>#DIV/0!</v>
      </c>
      <c r="BD28" s="3" t="e">
        <f t="shared" ca="1" si="16"/>
        <v>#DIV/0!</v>
      </c>
      <c r="BE28" s="3" t="e">
        <f t="shared" ca="1" si="16"/>
        <v>#DIV/0!</v>
      </c>
      <c r="BF28" s="3" t="e">
        <f t="shared" ca="1" si="16"/>
        <v>#DIV/0!</v>
      </c>
      <c r="BG28" s="3" t="e">
        <f t="shared" ca="1" si="16"/>
        <v>#DIV/0!</v>
      </c>
      <c r="BH28" s="3" t="e">
        <f t="shared" ca="1" si="16"/>
        <v>#DIV/0!</v>
      </c>
      <c r="BI28" s="2" t="e">
        <f ca="1">IF(COUNTIF($AN28:AN28,AN28)&gt;1,999,AN28)</f>
        <v>#DIV/0!</v>
      </c>
      <c r="BJ28" s="2" t="e">
        <f ca="1">IF(OR(COUNTIF($AN28:AO28,AO28)&gt;1,COUNTIFS($BI28:BI28,"&gt;0",$BI28:BI28,"&lt;999")&gt;=$AK28),999,AO28)</f>
        <v>#DIV/0!</v>
      </c>
      <c r="BK28" s="2" t="e">
        <f ca="1">IF(OR(COUNTIF($AN28:AP28,AP28)&gt;1,COUNTIFS($BI28:BJ28,"&gt;0",$BI28:BJ28,"&lt;999")&gt;=$AK28),999,AP28)</f>
        <v>#DIV/0!</v>
      </c>
      <c r="BL28" s="2" t="e">
        <f ca="1">IF(OR(COUNTIF($AN28:AQ28,AQ28)&gt;1,COUNTIFS($BI28:BK28,"&gt;0",$BI28:BK28,"&lt;999")&gt;=$AK28),999,AQ28)</f>
        <v>#DIV/0!</v>
      </c>
      <c r="BM28" s="2" t="e">
        <f ca="1">IF(OR(COUNTIF($AN28:AR28,AR28)&gt;1,COUNTIFS($BI28:BL28,"&gt;0",$BI28:BL28,"&lt;999")&gt;=$AK28),999,AR28)</f>
        <v>#DIV/0!</v>
      </c>
      <c r="BN28" s="2" t="e">
        <f ca="1">IF(OR(COUNTIF($AN28:AS28,AS28)&gt;1,COUNTIFS($BI28:BM28,"&gt;0",$BI28:BM28,"&lt;999")&gt;=$AK28),999,AS28)</f>
        <v>#DIV/0!</v>
      </c>
      <c r="BO28" s="2" t="e">
        <f ca="1">IF(OR(COUNTIF($AN28:AT28,AT28)&gt;1,COUNTIFS($BI28:BN28,"&gt;0",$BI28:BN28,"&lt;999")&gt;=$AK28),999,AT28)</f>
        <v>#DIV/0!</v>
      </c>
      <c r="BP28" s="2" t="e">
        <f ca="1">IF(OR(COUNTIF($AN28:AU28,AU28)&gt;1,COUNTIFS($BI28:BO28,"&gt;0",$BI28:BO28,"&lt;999")&gt;=$AK28),999,AU28)</f>
        <v>#DIV/0!</v>
      </c>
      <c r="BQ28" s="2" t="e">
        <f ca="1">IF(OR(COUNTIF($AN28:AV28,AV28)&gt;1,COUNTIFS($BI28:BP28,"&gt;0",$BI28:BP28,"&lt;999")&gt;=$AK28),999,AV28)</f>
        <v>#DIV/0!</v>
      </c>
      <c r="BR28" s="2" t="e">
        <f ca="1">IF(OR(COUNTIF($AN28:AW28,AW28)&gt;1,COUNTIFS($BI28:BQ28,"&gt;0",$BI28:BQ28,"&lt;999")&gt;=$AK28),999,AW28)</f>
        <v>#DIV/0!</v>
      </c>
      <c r="BS28" s="2" t="e">
        <f ca="1">IF(OR(COUNTIF($AN28:AX28,AX28)&gt;1,COUNTIFS($BI28:BR28,"&gt;0",$BI28:BR28,"&lt;999")&gt;=$AK28),999,AX28)</f>
        <v>#DIV/0!</v>
      </c>
      <c r="BT28" s="2" t="e">
        <f ca="1">IF(OR(COUNTIF($AN28:AY28,AY28)&gt;1,COUNTIFS($BI28:BS28,"&gt;0",$BI28:BS28,"&lt;999")&gt;=$AK28),999,AY28)</f>
        <v>#DIV/0!</v>
      </c>
      <c r="BU28" s="2" t="e">
        <f ca="1">IF(OR(COUNTIF($AN28:AZ28,AZ28)&gt;1,COUNTIFS($BI28:BT28,"&gt;0",$BI28:BT28,"&lt;999")&gt;=$AK28),999,AZ28)</f>
        <v>#DIV/0!</v>
      </c>
      <c r="BV28" s="2" t="e">
        <f ca="1">IF(OR(COUNTIF($AN28:BA28,BA28)&gt;1,COUNTIFS($BI28:BU28,"&gt;0",$BI28:BU28,"&lt;999")&gt;=$AK28),999,BA28)</f>
        <v>#DIV/0!</v>
      </c>
      <c r="BW28" s="2" t="e">
        <f ca="1">IF(OR(COUNTIF($AN28:BB28,BB28)&gt;1,COUNTIFS($BI28:BV28,"&gt;0",$BI28:BV28,"&lt;999")&gt;=$AK28),999,BB28)</f>
        <v>#DIV/0!</v>
      </c>
      <c r="BX28" s="2" t="e">
        <f ca="1">IF(OR(COUNTIF($AN28:BC28,BC28)&gt;1,COUNTIFS($BI28:BW28,"&gt;0",$BI28:BW28,"&lt;999")&gt;=$AK28),999,BC28)</f>
        <v>#DIV/0!</v>
      </c>
      <c r="BY28" s="2" t="e">
        <f ca="1">IF(OR(COUNTIF($AN28:BD28,BD28)&gt;1,COUNTIFS($BI28:BX28,"&gt;0",$BI28:BX28,"&lt;999")&gt;=$AK28),999,BD28)</f>
        <v>#DIV/0!</v>
      </c>
      <c r="BZ28" s="2" t="e">
        <f ca="1">IF(OR(COUNTIF($AN28:BE28,BE28)&gt;1,COUNTIFS($BI28:BY28,"&gt;0",$BI28:BY28,"&lt;999")&gt;=$AK28),999,BE28)</f>
        <v>#DIV/0!</v>
      </c>
      <c r="CA28" s="2" t="e">
        <f ca="1">IF(OR(COUNTIF($AN28:BF28,BF28)&gt;1,COUNTIFS($BI28:BZ28,"&gt;0",$BI28:BZ28,"&lt;999")&gt;=$AK28),999,BF28)</f>
        <v>#DIV/0!</v>
      </c>
      <c r="CB28" s="2" t="e">
        <f ca="1">IF(OR(COUNTIF($AN28:BG28,BG28)&gt;1,COUNTIFS($BI28:CA28,"&gt;0",$BI28:CA28,"&lt;999")&gt;=$AK28),999,BG28)</f>
        <v>#DIV/0!</v>
      </c>
      <c r="CC28" s="2" t="e">
        <f ca="1">IF(OR(COUNTIF($AN28:BH28,BH28)&gt;1,COUNTIFS($BI28:CB28,"&gt;0",$BI28:CB28,"&lt;999")&gt;=$AK28),999,BH28)</f>
        <v>#DIV/0!</v>
      </c>
      <c r="CD28" s="2" t="e">
        <f ca="1">IF(U$1=0,CD22,MIN(BI28:CC28))</f>
        <v>#DIV/0!</v>
      </c>
      <c r="CE28" s="2" t="e">
        <f t="shared" ref="CE28:CG31" ca="1" si="17">IF($U$1=0,CE22,IF(CE$21&lt;=$AI$2,IF(CD28&gt;0,SMALL($BI28:$CC28,CE$21),""),""))</f>
        <v>#DIV/0!</v>
      </c>
      <c r="CF28" s="2" t="e">
        <f t="shared" ca="1" si="17"/>
        <v>#DIV/0!</v>
      </c>
      <c r="CG28" s="2" t="str">
        <f t="shared" ca="1" si="17"/>
        <v/>
      </c>
    </row>
    <row r="29" spans="1:85" s="2" customFormat="1" ht="18.75" thickBot="1">
      <c r="A29" s="25" t="s">
        <v>36</v>
      </c>
      <c r="B29" s="13" t="str">
        <f>IF(OR($F$11="",M29&gt;F$18),"",VLOOKUP(M29,T$3:U$34,2,FALSE))</f>
        <v/>
      </c>
      <c r="C29" s="3" t="s">
        <v>10</v>
      </c>
      <c r="D29" s="13" t="str">
        <f ca="1">IF(B29="","",RAND())</f>
        <v/>
      </c>
      <c r="E29" s="6" t="s">
        <v>7</v>
      </c>
      <c r="F29" s="13" t="str">
        <f>IF(B29="","",B29*D29)</f>
        <v/>
      </c>
      <c r="G29" s="3" t="str">
        <f>IF($A$1="Mile Post","+","+  STA.")</f>
        <v>+  STA.</v>
      </c>
      <c r="H29" s="37" t="str">
        <f>IF(OR($F$11="",M29&gt;F$18),"",IF($A$1="Mile Post",VLOOKUP(M29,T$3:W$34,3,FALSE)+(M29-VLOOKUP(M29,T$3:X$34,5,FALSE))*B29,VLOOKUP(M29,T$3:W$34,3,FALSE)+(M29-VLOOKUP(M29,T$3:X$34,5,FALSE))*B29/100))</f>
        <v/>
      </c>
      <c r="I29" s="38" t="s">
        <v>7</v>
      </c>
      <c r="J29" s="113" t="str">
        <f>IF($A$1="Mile Post", "MILE POST", "STATION")</f>
        <v>STATION</v>
      </c>
      <c r="K29" s="114"/>
      <c r="L29" s="28" t="str">
        <f>IF(F29="","",IF($A$1="Mile Post",H29+F29,H29+(F29/100)))</f>
        <v/>
      </c>
      <c r="M29" s="2">
        <f>1+M24</f>
        <v>2</v>
      </c>
      <c r="N29" s="2">
        <f ca="1">IF(OR(AG29="",L$18=0),0,1)</f>
        <v>0</v>
      </c>
      <c r="T29" s="2">
        <f t="shared" si="5"/>
        <v>27</v>
      </c>
      <c r="U29" s="2" t="e">
        <f t="shared" si="8"/>
        <v>#DIV/0!</v>
      </c>
      <c r="V29" s="2">
        <f t="shared" si="7"/>
        <v>0</v>
      </c>
      <c r="W29" s="2">
        <f t="shared" si="0"/>
        <v>0</v>
      </c>
      <c r="X29" s="2">
        <f t="shared" si="1"/>
        <v>1</v>
      </c>
      <c r="Y29" s="2">
        <f t="shared" ca="1" si="2"/>
        <v>0</v>
      </c>
      <c r="AA29" s="2">
        <f ca="1">IF(AB29=0,0,COUNTIF(AB$2:AB29,"&gt;0"))</f>
        <v>0</v>
      </c>
      <c r="AB29" s="2">
        <f t="shared" ca="1" si="3"/>
        <v>0</v>
      </c>
      <c r="AC29" s="2">
        <f ca="1">IF(AD29=0,0,COUNTIF(AD$2:AD29,"&gt;0"))</f>
        <v>0</v>
      </c>
      <c r="AD29" s="2">
        <f t="shared" ca="1" si="4"/>
        <v>0</v>
      </c>
      <c r="AE29" s="2">
        <f ca="1">OFFSET(Y$2,MATCH(M29,T$3:T$34,0),0)</f>
        <v>0</v>
      </c>
      <c r="AF29" s="61"/>
      <c r="AG29" s="61" t="str">
        <f ca="1">IF(OFFSET(AC$2,M29,0)&gt;0,CONCATENATE("Joint Core # ",TEXT(OFFSET(AC$2,M29,0),"0")),"")</f>
        <v/>
      </c>
      <c r="AH29" s="61"/>
      <c r="AI29" s="3">
        <v>2</v>
      </c>
      <c r="AJ29" s="3"/>
      <c r="AK29" s="3" t="e">
        <f ca="1">IF(U$1=1,IF(AND(AJ23&gt;0,AK23=0,AL23&gt;0),AI$2-SUM($AB$3:$AB$34),AK23),0)</f>
        <v>#DIV/0!</v>
      </c>
      <c r="AL29" s="3" t="e">
        <f t="shared" ref="AL29:AM31" ca="1" si="18">IF($U$1=1,IF(AND($AJ23&gt;0,$AK23=0,$AL23&gt;0),$AI$2-SUM($AB$3:$AB$34),AL23),0)</f>
        <v>#DIV/0!</v>
      </c>
      <c r="AM29" s="3" t="e">
        <f t="shared" ca="1" si="18"/>
        <v>#DIV/0!</v>
      </c>
      <c r="AN29" s="3" t="e">
        <f t="shared" ref="AN29:AN31" ca="1" si="19">IF($AK29&gt;0,RANDBETWEEN($AL29,$AM29),0)</f>
        <v>#DIV/0!</v>
      </c>
      <c r="AO29" s="3" t="e">
        <f t="shared" ca="1" si="16"/>
        <v>#DIV/0!</v>
      </c>
      <c r="AP29" s="3" t="e">
        <f t="shared" ca="1" si="16"/>
        <v>#DIV/0!</v>
      </c>
      <c r="AQ29" s="3" t="e">
        <f t="shared" ca="1" si="16"/>
        <v>#DIV/0!</v>
      </c>
      <c r="AR29" s="3" t="e">
        <f t="shared" ca="1" si="16"/>
        <v>#DIV/0!</v>
      </c>
      <c r="AS29" s="3" t="e">
        <f t="shared" ca="1" si="16"/>
        <v>#DIV/0!</v>
      </c>
      <c r="AT29" s="3" t="e">
        <f t="shared" ca="1" si="16"/>
        <v>#DIV/0!</v>
      </c>
      <c r="AU29" s="3" t="e">
        <f t="shared" ca="1" si="16"/>
        <v>#DIV/0!</v>
      </c>
      <c r="AV29" s="3" t="e">
        <f t="shared" ca="1" si="16"/>
        <v>#DIV/0!</v>
      </c>
      <c r="AW29" s="3" t="e">
        <f t="shared" ca="1" si="16"/>
        <v>#DIV/0!</v>
      </c>
      <c r="AX29" s="3" t="e">
        <f t="shared" ca="1" si="16"/>
        <v>#DIV/0!</v>
      </c>
      <c r="AY29" s="3" t="e">
        <f t="shared" ca="1" si="16"/>
        <v>#DIV/0!</v>
      </c>
      <c r="AZ29" s="3" t="e">
        <f t="shared" ca="1" si="16"/>
        <v>#DIV/0!</v>
      </c>
      <c r="BA29" s="3" t="e">
        <f t="shared" ca="1" si="16"/>
        <v>#DIV/0!</v>
      </c>
      <c r="BB29" s="3" t="e">
        <f t="shared" ca="1" si="16"/>
        <v>#DIV/0!</v>
      </c>
      <c r="BC29" s="3" t="e">
        <f t="shared" ca="1" si="16"/>
        <v>#DIV/0!</v>
      </c>
      <c r="BD29" s="3" t="e">
        <f t="shared" ca="1" si="16"/>
        <v>#DIV/0!</v>
      </c>
      <c r="BE29" s="3" t="e">
        <f t="shared" ca="1" si="16"/>
        <v>#DIV/0!</v>
      </c>
      <c r="BF29" s="3" t="e">
        <f t="shared" ca="1" si="16"/>
        <v>#DIV/0!</v>
      </c>
      <c r="BG29" s="3" t="e">
        <f t="shared" ca="1" si="16"/>
        <v>#DIV/0!</v>
      </c>
      <c r="BH29" s="3" t="e">
        <f t="shared" ca="1" si="16"/>
        <v>#DIV/0!</v>
      </c>
      <c r="BI29" s="2" t="e">
        <f ca="1">IF(COUNTIF($AN29:AN29,AN29)&gt;1,999,AN29)</f>
        <v>#DIV/0!</v>
      </c>
      <c r="BJ29" s="2" t="e">
        <f ca="1">IF(OR(COUNTIF($AN29:AO29,AO29)&gt;1,COUNTIFS($BI29:BI29,"&gt;0",$BI29:BI29,"&lt;999")&gt;=$AK29),999,AO29)</f>
        <v>#DIV/0!</v>
      </c>
      <c r="BK29" s="2" t="e">
        <f ca="1">IF(OR(COUNTIF($AN29:AP29,AP29)&gt;1,COUNTIFS($BI29:BJ29,"&gt;0",$BI29:BJ29,"&lt;999")&gt;=$AK29),999,AP29)</f>
        <v>#DIV/0!</v>
      </c>
      <c r="BL29" s="2" t="e">
        <f ca="1">IF(OR(COUNTIF($AN29:AQ29,AQ29)&gt;1,COUNTIFS($BI29:BK29,"&gt;0",$BI29:BK29,"&lt;999")&gt;=$AK29),999,AQ29)</f>
        <v>#DIV/0!</v>
      </c>
      <c r="BM29" s="2" t="e">
        <f ca="1">IF(OR(COUNTIF($AN29:AR29,AR29)&gt;1,COUNTIFS($BI29:BL29,"&gt;0",$BI29:BL29,"&lt;999")&gt;=$AK29),999,AR29)</f>
        <v>#DIV/0!</v>
      </c>
      <c r="BN29" s="2" t="e">
        <f ca="1">IF(OR(COUNTIF($AN29:AS29,AS29)&gt;1,COUNTIFS($BI29:BM29,"&gt;0",$BI29:BM29,"&lt;999")&gt;=$AK29),999,AS29)</f>
        <v>#DIV/0!</v>
      </c>
      <c r="BO29" s="2" t="e">
        <f ca="1">IF(OR(COUNTIF($AN29:AT29,AT29)&gt;1,COUNTIFS($BI29:BN29,"&gt;0",$BI29:BN29,"&lt;999")&gt;=$AK29),999,AT29)</f>
        <v>#DIV/0!</v>
      </c>
      <c r="BP29" s="2" t="e">
        <f ca="1">IF(OR(COUNTIF($AN29:AU29,AU29)&gt;1,COUNTIFS($BI29:BO29,"&gt;0",$BI29:BO29,"&lt;999")&gt;=$AK29),999,AU29)</f>
        <v>#DIV/0!</v>
      </c>
      <c r="BQ29" s="2" t="e">
        <f ca="1">IF(OR(COUNTIF($AN29:AV29,AV29)&gt;1,COUNTIFS($BI29:BP29,"&gt;0",$BI29:BP29,"&lt;999")&gt;=$AK29),999,AV29)</f>
        <v>#DIV/0!</v>
      </c>
      <c r="BR29" s="2" t="e">
        <f ca="1">IF(OR(COUNTIF($AN29:AW29,AW29)&gt;1,COUNTIFS($BI29:BQ29,"&gt;0",$BI29:BQ29,"&lt;999")&gt;=$AK29),999,AW29)</f>
        <v>#DIV/0!</v>
      </c>
      <c r="BS29" s="2" t="e">
        <f ca="1">IF(OR(COUNTIF($AN29:AX29,AX29)&gt;1,COUNTIFS($BI29:BR29,"&gt;0",$BI29:BR29,"&lt;999")&gt;=$AK29),999,AX29)</f>
        <v>#DIV/0!</v>
      </c>
      <c r="BT29" s="2" t="e">
        <f ca="1">IF(OR(COUNTIF($AN29:AY29,AY29)&gt;1,COUNTIFS($BI29:BS29,"&gt;0",$BI29:BS29,"&lt;999")&gt;=$AK29),999,AY29)</f>
        <v>#DIV/0!</v>
      </c>
      <c r="BU29" s="2" t="e">
        <f ca="1">IF(OR(COUNTIF($AN29:AZ29,AZ29)&gt;1,COUNTIFS($BI29:BT29,"&gt;0",$BI29:BT29,"&lt;999")&gt;=$AK29),999,AZ29)</f>
        <v>#DIV/0!</v>
      </c>
      <c r="BV29" s="2" t="e">
        <f ca="1">IF(OR(COUNTIF($AN29:BA29,BA29)&gt;1,COUNTIFS($BI29:BU29,"&gt;0",$BI29:BU29,"&lt;999")&gt;=$AK29),999,BA29)</f>
        <v>#DIV/0!</v>
      </c>
      <c r="BW29" s="2" t="e">
        <f ca="1">IF(OR(COUNTIF($AN29:BB29,BB29)&gt;1,COUNTIFS($BI29:BV29,"&gt;0",$BI29:BV29,"&lt;999")&gt;=$AK29),999,BB29)</f>
        <v>#DIV/0!</v>
      </c>
      <c r="BX29" s="2" t="e">
        <f ca="1">IF(OR(COUNTIF($AN29:BC29,BC29)&gt;1,COUNTIFS($BI29:BW29,"&gt;0",$BI29:BW29,"&lt;999")&gt;=$AK29),999,BC29)</f>
        <v>#DIV/0!</v>
      </c>
      <c r="BY29" s="2" t="e">
        <f ca="1">IF(OR(COUNTIF($AN29:BD29,BD29)&gt;1,COUNTIFS($BI29:BX29,"&gt;0",$BI29:BX29,"&lt;999")&gt;=$AK29),999,BD29)</f>
        <v>#DIV/0!</v>
      </c>
      <c r="BZ29" s="2" t="e">
        <f ca="1">IF(OR(COUNTIF($AN29:BE29,BE29)&gt;1,COUNTIFS($BI29:BY29,"&gt;0",$BI29:BY29,"&lt;999")&gt;=$AK29),999,BE29)</f>
        <v>#DIV/0!</v>
      </c>
      <c r="CA29" s="2" t="e">
        <f ca="1">IF(OR(COUNTIF($AN29:BF29,BF29)&gt;1,COUNTIFS($BI29:BZ29,"&gt;0",$BI29:BZ29,"&lt;999")&gt;=$AK29),999,BF29)</f>
        <v>#DIV/0!</v>
      </c>
      <c r="CB29" s="2" t="e">
        <f ca="1">IF(OR(COUNTIF($AN29:BG29,BG29)&gt;1,COUNTIFS($BI29:CA29,"&gt;0",$BI29:CA29,"&lt;999")&gt;=$AK29),999,BG29)</f>
        <v>#DIV/0!</v>
      </c>
      <c r="CC29" s="2" t="e">
        <f ca="1">IF(OR(COUNTIF($AN29:BH29,BH29)&gt;1,COUNTIFS($BI29:CB29,"&gt;0",$BI29:CB29,"&lt;999")&gt;=$AK29),999,BH29)</f>
        <v>#DIV/0!</v>
      </c>
      <c r="CD29" s="2" t="e">
        <f t="shared" ref="CD29:CD31" ca="1" si="20">IF(U$1=0,CD23,MIN(BI29:CC29))</f>
        <v>#DIV/0!</v>
      </c>
      <c r="CE29" s="2" t="e">
        <f t="shared" ca="1" si="17"/>
        <v>#DIV/0!</v>
      </c>
      <c r="CF29" s="2" t="e">
        <f t="shared" ca="1" si="17"/>
        <v>#DIV/0!</v>
      </c>
      <c r="CG29" s="2" t="str">
        <f t="shared" ca="1" si="17"/>
        <v/>
      </c>
    </row>
    <row r="30" spans="1:85" s="2" customFormat="1" ht="9" customHeight="1" thickTop="1">
      <c r="B30" s="15"/>
      <c r="C30" s="3"/>
      <c r="D30" s="17"/>
      <c r="E30" s="6"/>
      <c r="F30" s="12"/>
      <c r="G30" s="3"/>
      <c r="I30" s="3"/>
      <c r="J30" s="3"/>
      <c r="K30" s="14"/>
      <c r="L30" s="54"/>
      <c r="T30" s="2">
        <f t="shared" si="5"/>
        <v>28</v>
      </c>
      <c r="U30" s="2" t="e">
        <f t="shared" si="8"/>
        <v>#DIV/0!</v>
      </c>
      <c r="V30" s="2">
        <f t="shared" si="7"/>
        <v>0</v>
      </c>
      <c r="W30" s="2">
        <f t="shared" si="0"/>
        <v>0</v>
      </c>
      <c r="X30" s="2">
        <f t="shared" si="1"/>
        <v>1</v>
      </c>
      <c r="Y30" s="2">
        <f t="shared" ca="1" si="2"/>
        <v>0</v>
      </c>
      <c r="AA30" s="2">
        <f ca="1">IF(AB30=0,0,COUNTIF(AB$2:AB30,"&gt;0"))</f>
        <v>0</v>
      </c>
      <c r="AB30" s="2">
        <f t="shared" ca="1" si="3"/>
        <v>0</v>
      </c>
      <c r="AC30" s="2">
        <f ca="1">IF(AD30=0,0,COUNTIF(AD$2:AD30,"&gt;0"))</f>
        <v>0</v>
      </c>
      <c r="AD30" s="2">
        <f t="shared" ca="1" si="4"/>
        <v>0</v>
      </c>
      <c r="AF30" s="61"/>
      <c r="AG30" s="61"/>
      <c r="AH30" s="61"/>
      <c r="AI30" s="3">
        <v>3</v>
      </c>
      <c r="AJ30" s="3"/>
      <c r="AK30" s="3" t="e">
        <f ca="1">IF(U$1=1,IF(AND(AJ24&gt;0,AK24=0,AL24&gt;0),AI$2-SUM($AB$3:$AB$34),AK24),0)</f>
        <v>#DIV/0!</v>
      </c>
      <c r="AL30" s="3" t="e">
        <f t="shared" ca="1" si="18"/>
        <v>#DIV/0!</v>
      </c>
      <c r="AM30" s="3" t="e">
        <f t="shared" ca="1" si="18"/>
        <v>#DIV/0!</v>
      </c>
      <c r="AN30" s="3" t="e">
        <f t="shared" ca="1" si="19"/>
        <v>#DIV/0!</v>
      </c>
      <c r="AO30" s="3" t="e">
        <f t="shared" ca="1" si="16"/>
        <v>#DIV/0!</v>
      </c>
      <c r="AP30" s="3" t="e">
        <f t="shared" ca="1" si="16"/>
        <v>#DIV/0!</v>
      </c>
      <c r="AQ30" s="3" t="e">
        <f t="shared" ca="1" si="16"/>
        <v>#DIV/0!</v>
      </c>
      <c r="AR30" s="3" t="e">
        <f t="shared" ca="1" si="16"/>
        <v>#DIV/0!</v>
      </c>
      <c r="AS30" s="3" t="e">
        <f t="shared" ca="1" si="16"/>
        <v>#DIV/0!</v>
      </c>
      <c r="AT30" s="3" t="e">
        <f t="shared" ca="1" si="16"/>
        <v>#DIV/0!</v>
      </c>
      <c r="AU30" s="3" t="e">
        <f t="shared" ca="1" si="16"/>
        <v>#DIV/0!</v>
      </c>
      <c r="AV30" s="3" t="e">
        <f t="shared" ca="1" si="16"/>
        <v>#DIV/0!</v>
      </c>
      <c r="AW30" s="3" t="e">
        <f t="shared" ca="1" si="16"/>
        <v>#DIV/0!</v>
      </c>
      <c r="AX30" s="3" t="e">
        <f t="shared" ca="1" si="16"/>
        <v>#DIV/0!</v>
      </c>
      <c r="AY30" s="3" t="e">
        <f t="shared" ca="1" si="16"/>
        <v>#DIV/0!</v>
      </c>
      <c r="AZ30" s="3" t="e">
        <f t="shared" ca="1" si="16"/>
        <v>#DIV/0!</v>
      </c>
      <c r="BA30" s="3" t="e">
        <f t="shared" ca="1" si="16"/>
        <v>#DIV/0!</v>
      </c>
      <c r="BB30" s="3" t="e">
        <f t="shared" ca="1" si="16"/>
        <v>#DIV/0!</v>
      </c>
      <c r="BC30" s="3" t="e">
        <f t="shared" ca="1" si="16"/>
        <v>#DIV/0!</v>
      </c>
      <c r="BD30" s="3" t="e">
        <f t="shared" ca="1" si="16"/>
        <v>#DIV/0!</v>
      </c>
      <c r="BE30" s="3" t="e">
        <f t="shared" ca="1" si="16"/>
        <v>#DIV/0!</v>
      </c>
      <c r="BF30" s="3" t="e">
        <f t="shared" ca="1" si="16"/>
        <v>#DIV/0!</v>
      </c>
      <c r="BG30" s="3" t="e">
        <f t="shared" ca="1" si="16"/>
        <v>#DIV/0!</v>
      </c>
      <c r="BH30" s="3" t="e">
        <f t="shared" ca="1" si="16"/>
        <v>#DIV/0!</v>
      </c>
      <c r="BI30" s="2" t="e">
        <f ca="1">IF(COUNTIF($AN30:AN30,AN30)&gt;1,999,AN30)</f>
        <v>#DIV/0!</v>
      </c>
      <c r="BJ30" s="2" t="e">
        <f ca="1">IF(OR(COUNTIF($AN30:AO30,AO30)&gt;1,COUNTIFS($BI30:BI30,"&gt;0",$BI30:BI30,"&lt;999")&gt;=$AK30),999,AO30)</f>
        <v>#DIV/0!</v>
      </c>
      <c r="BK30" s="2" t="e">
        <f ca="1">IF(OR(COUNTIF($AN30:AP30,AP30)&gt;1,COUNTIFS($BI30:BJ30,"&gt;0",$BI30:BJ30,"&lt;999")&gt;=$AK30),999,AP30)</f>
        <v>#DIV/0!</v>
      </c>
      <c r="BL30" s="2" t="e">
        <f ca="1">IF(OR(COUNTIF($AN30:AQ30,AQ30)&gt;1,COUNTIFS($BI30:BK30,"&gt;0",$BI30:BK30,"&lt;999")&gt;=$AK30),999,AQ30)</f>
        <v>#DIV/0!</v>
      </c>
      <c r="BM30" s="2" t="e">
        <f ca="1">IF(OR(COUNTIF($AN30:AR30,AR30)&gt;1,COUNTIFS($BI30:BL30,"&gt;0",$BI30:BL30,"&lt;999")&gt;=$AK30),999,AR30)</f>
        <v>#DIV/0!</v>
      </c>
      <c r="BN30" s="2" t="e">
        <f ca="1">IF(OR(COUNTIF($AN30:AS30,AS30)&gt;1,COUNTIFS($BI30:BM30,"&gt;0",$BI30:BM30,"&lt;999")&gt;=$AK30),999,AS30)</f>
        <v>#DIV/0!</v>
      </c>
      <c r="BO30" s="2" t="e">
        <f ca="1">IF(OR(COUNTIF($AN30:AT30,AT30)&gt;1,COUNTIFS($BI30:BN30,"&gt;0",$BI30:BN30,"&lt;999")&gt;=$AK30),999,AT30)</f>
        <v>#DIV/0!</v>
      </c>
      <c r="BP30" s="2" t="e">
        <f ca="1">IF(OR(COUNTIF($AN30:AU30,AU30)&gt;1,COUNTIFS($BI30:BO30,"&gt;0",$BI30:BO30,"&lt;999")&gt;=$AK30),999,AU30)</f>
        <v>#DIV/0!</v>
      </c>
      <c r="BQ30" s="2" t="e">
        <f ca="1">IF(OR(COUNTIF($AN30:AV30,AV30)&gt;1,COUNTIFS($BI30:BP30,"&gt;0",$BI30:BP30,"&lt;999")&gt;=$AK30),999,AV30)</f>
        <v>#DIV/0!</v>
      </c>
      <c r="BR30" s="2" t="e">
        <f ca="1">IF(OR(COUNTIF($AN30:AW30,AW30)&gt;1,COUNTIFS($BI30:BQ30,"&gt;0",$BI30:BQ30,"&lt;999")&gt;=$AK30),999,AW30)</f>
        <v>#DIV/0!</v>
      </c>
      <c r="BS30" s="2" t="e">
        <f ca="1">IF(OR(COUNTIF($AN30:AX30,AX30)&gt;1,COUNTIFS($BI30:BR30,"&gt;0",$BI30:BR30,"&lt;999")&gt;=$AK30),999,AX30)</f>
        <v>#DIV/0!</v>
      </c>
      <c r="BT30" s="2" t="e">
        <f ca="1">IF(OR(COUNTIF($AN30:AY30,AY30)&gt;1,COUNTIFS($BI30:BS30,"&gt;0",$BI30:BS30,"&lt;999")&gt;=$AK30),999,AY30)</f>
        <v>#DIV/0!</v>
      </c>
      <c r="BU30" s="2" t="e">
        <f ca="1">IF(OR(COUNTIF($AN30:AZ30,AZ30)&gt;1,COUNTIFS($BI30:BT30,"&gt;0",$BI30:BT30,"&lt;999")&gt;=$AK30),999,AZ30)</f>
        <v>#DIV/0!</v>
      </c>
      <c r="BV30" s="2" t="e">
        <f ca="1">IF(OR(COUNTIF($AN30:BA30,BA30)&gt;1,COUNTIFS($BI30:BU30,"&gt;0",$BI30:BU30,"&lt;999")&gt;=$AK30),999,BA30)</f>
        <v>#DIV/0!</v>
      </c>
      <c r="BW30" s="2" t="e">
        <f ca="1">IF(OR(COUNTIF($AN30:BB30,BB30)&gt;1,COUNTIFS($BI30:BV30,"&gt;0",$BI30:BV30,"&lt;999")&gt;=$AK30),999,BB30)</f>
        <v>#DIV/0!</v>
      </c>
      <c r="BX30" s="2" t="e">
        <f ca="1">IF(OR(COUNTIF($AN30:BC30,BC30)&gt;1,COUNTIFS($BI30:BW30,"&gt;0",$BI30:BW30,"&lt;999")&gt;=$AK30),999,BC30)</f>
        <v>#DIV/0!</v>
      </c>
      <c r="BY30" s="2" t="e">
        <f ca="1">IF(OR(COUNTIF($AN30:BD30,BD30)&gt;1,COUNTIFS($BI30:BX30,"&gt;0",$BI30:BX30,"&lt;999")&gt;=$AK30),999,BD30)</f>
        <v>#DIV/0!</v>
      </c>
      <c r="BZ30" s="2" t="e">
        <f ca="1">IF(OR(COUNTIF($AN30:BE30,BE30)&gt;1,COUNTIFS($BI30:BY30,"&gt;0",$BI30:BY30,"&lt;999")&gt;=$AK30),999,BE30)</f>
        <v>#DIV/0!</v>
      </c>
      <c r="CA30" s="2" t="e">
        <f ca="1">IF(OR(COUNTIF($AN30:BF30,BF30)&gt;1,COUNTIFS($BI30:BZ30,"&gt;0",$BI30:BZ30,"&lt;999")&gt;=$AK30),999,BF30)</f>
        <v>#DIV/0!</v>
      </c>
      <c r="CB30" s="2" t="e">
        <f ca="1">IF(OR(COUNTIF($AN30:BG30,BG30)&gt;1,COUNTIFS($BI30:CA30,"&gt;0",$BI30:CA30,"&lt;999")&gt;=$AK30),999,BG30)</f>
        <v>#DIV/0!</v>
      </c>
      <c r="CC30" s="2" t="e">
        <f ca="1">IF(OR(COUNTIF($AN30:BH30,BH30)&gt;1,COUNTIFS($BI30:CB30,"&gt;0",$BI30:CB30,"&lt;999")&gt;=$AK30),999,BH30)</f>
        <v>#DIV/0!</v>
      </c>
      <c r="CD30" s="2" t="e">
        <f t="shared" ca="1" si="20"/>
        <v>#DIV/0!</v>
      </c>
      <c r="CE30" s="2" t="e">
        <f t="shared" ca="1" si="17"/>
        <v>#DIV/0!</v>
      </c>
      <c r="CF30" s="2" t="e">
        <f t="shared" ca="1" si="17"/>
        <v>#DIV/0!</v>
      </c>
      <c r="CG30" s="2" t="str">
        <f t="shared" ca="1" si="17"/>
        <v/>
      </c>
    </row>
    <row r="31" spans="1:85" s="2" customFormat="1" ht="18.75" thickBot="1">
      <c r="A31" s="11"/>
      <c r="B31" s="7" t="str">
        <f>IF(B29="","",B26)</f>
        <v/>
      </c>
      <c r="C31" s="3" t="s">
        <v>10</v>
      </c>
      <c r="D31" s="13" t="str">
        <f ca="1">IF(B31="","",RAND()*IF(J$6&lt;22,1,IF(RANDBETWEEN(0,1)=0,-1,1)))</f>
        <v/>
      </c>
      <c r="E31" s="6" t="s">
        <v>7</v>
      </c>
      <c r="F31" s="30" t="str">
        <f>IF(B31="","",IF(AND(ABS(B31*D31)&gt;(B31-1),AK8=""),B31-1,IF(AND(ABS(B31*D31)&lt;1),1,B31*D31)))</f>
        <v/>
      </c>
      <c r="G31" s="36" t="s">
        <v>42</v>
      </c>
      <c r="H31" s="2" t="str">
        <f>IF(J$6&gt;21,IF(F31&lt;0,"(Offset Left)","(Offset Right)"),"(Offset)")</f>
        <v>(Offset)</v>
      </c>
      <c r="I31" s="6"/>
      <c r="J31" s="11" t="str">
        <f>IF(B31="","",IF(AND(ABS(B31*D31)&gt;(B31-1),AK$8=""),CONCATENATE(TEXT(B31-1,"0.0")," FT. max"),IF(ABS(B31*D31)&lt;1,"1 FT. min","")))</f>
        <v/>
      </c>
      <c r="L31" s="54"/>
      <c r="T31" s="2">
        <f t="shared" si="5"/>
        <v>29</v>
      </c>
      <c r="U31" s="2" t="e">
        <f t="shared" si="8"/>
        <v>#DIV/0!</v>
      </c>
      <c r="V31" s="2">
        <f t="shared" si="7"/>
        <v>0</v>
      </c>
      <c r="W31" s="2">
        <f t="shared" si="0"/>
        <v>0</v>
      </c>
      <c r="X31" s="2">
        <f t="shared" si="1"/>
        <v>1</v>
      </c>
      <c r="Y31" s="2">
        <f t="shared" ca="1" si="2"/>
        <v>0</v>
      </c>
      <c r="AA31" s="2">
        <f ca="1">IF(AB31=0,0,COUNTIF(AB$2:AB31,"&gt;0"))</f>
        <v>0</v>
      </c>
      <c r="AB31" s="2">
        <f t="shared" ca="1" si="3"/>
        <v>0</v>
      </c>
      <c r="AC31" s="2">
        <f ca="1">IF(AD31=0,0,COUNTIF(AD$2:AD31,"&gt;0"))</f>
        <v>0</v>
      </c>
      <c r="AD31" s="2">
        <f t="shared" ca="1" si="4"/>
        <v>0</v>
      </c>
      <c r="AF31" s="61"/>
      <c r="AG31" s="61"/>
      <c r="AH31" s="61"/>
      <c r="AI31" s="3">
        <v>4</v>
      </c>
      <c r="AJ31" s="3"/>
      <c r="AK31" s="3" t="e">
        <f ca="1">IF(U$1=1,IF(AND(AJ25&gt;0,AK25=0,AL25&gt;0),AI$2-SUM($AB$3:$AB$34),AK25),0)</f>
        <v>#DIV/0!</v>
      </c>
      <c r="AL31" s="3" t="e">
        <f t="shared" ca="1" si="18"/>
        <v>#DIV/0!</v>
      </c>
      <c r="AM31" s="3" t="e">
        <f t="shared" ca="1" si="18"/>
        <v>#DIV/0!</v>
      </c>
      <c r="AN31" s="3" t="e">
        <f t="shared" ca="1" si="19"/>
        <v>#DIV/0!</v>
      </c>
      <c r="AO31" s="3" t="e">
        <f t="shared" ca="1" si="16"/>
        <v>#DIV/0!</v>
      </c>
      <c r="AP31" s="3" t="e">
        <f t="shared" ca="1" si="16"/>
        <v>#DIV/0!</v>
      </c>
      <c r="AQ31" s="3" t="e">
        <f t="shared" ca="1" si="16"/>
        <v>#DIV/0!</v>
      </c>
      <c r="AR31" s="3" t="e">
        <f t="shared" ca="1" si="16"/>
        <v>#DIV/0!</v>
      </c>
      <c r="AS31" s="3" t="e">
        <f t="shared" ca="1" si="16"/>
        <v>#DIV/0!</v>
      </c>
      <c r="AT31" s="3" t="e">
        <f t="shared" ca="1" si="16"/>
        <v>#DIV/0!</v>
      </c>
      <c r="AU31" s="3" t="e">
        <f t="shared" ca="1" si="16"/>
        <v>#DIV/0!</v>
      </c>
      <c r="AV31" s="3" t="e">
        <f t="shared" ca="1" si="16"/>
        <v>#DIV/0!</v>
      </c>
      <c r="AW31" s="3" t="e">
        <f t="shared" ca="1" si="16"/>
        <v>#DIV/0!</v>
      </c>
      <c r="AX31" s="3" t="e">
        <f t="shared" ca="1" si="16"/>
        <v>#DIV/0!</v>
      </c>
      <c r="AY31" s="3" t="e">
        <f t="shared" ca="1" si="16"/>
        <v>#DIV/0!</v>
      </c>
      <c r="AZ31" s="3" t="e">
        <f t="shared" ca="1" si="16"/>
        <v>#DIV/0!</v>
      </c>
      <c r="BA31" s="3" t="e">
        <f t="shared" ca="1" si="16"/>
        <v>#DIV/0!</v>
      </c>
      <c r="BB31" s="3" t="e">
        <f t="shared" ca="1" si="16"/>
        <v>#DIV/0!</v>
      </c>
      <c r="BC31" s="3" t="e">
        <f t="shared" ca="1" si="16"/>
        <v>#DIV/0!</v>
      </c>
      <c r="BD31" s="3" t="e">
        <f t="shared" ca="1" si="16"/>
        <v>#DIV/0!</v>
      </c>
      <c r="BE31" s="3" t="e">
        <f t="shared" ca="1" si="16"/>
        <v>#DIV/0!</v>
      </c>
      <c r="BF31" s="3" t="e">
        <f t="shared" ca="1" si="16"/>
        <v>#DIV/0!</v>
      </c>
      <c r="BG31" s="3" t="e">
        <f t="shared" ca="1" si="16"/>
        <v>#DIV/0!</v>
      </c>
      <c r="BH31" s="3" t="e">
        <f t="shared" ca="1" si="16"/>
        <v>#DIV/0!</v>
      </c>
      <c r="BI31" s="2" t="e">
        <f ca="1">IF(COUNTIF($AN31:AN31,AN31)&gt;1,999,AN31)</f>
        <v>#DIV/0!</v>
      </c>
      <c r="BJ31" s="2" t="e">
        <f ca="1">IF(OR(COUNTIF($AN31:AO31,AO31)&gt;1,COUNTIFS($BI31:BI31,"&gt;0",$BI31:BI31,"&lt;999")&gt;=$AK31),999,AO31)</f>
        <v>#DIV/0!</v>
      </c>
      <c r="BK31" s="2" t="e">
        <f ca="1">IF(OR(COUNTIF($AN31:AP31,AP31)&gt;1,COUNTIFS($BI31:BJ31,"&gt;0",$BI31:BJ31,"&lt;999")&gt;=$AK31),999,AP31)</f>
        <v>#DIV/0!</v>
      </c>
      <c r="BL31" s="2" t="e">
        <f ca="1">IF(OR(COUNTIF($AN31:AQ31,AQ31)&gt;1,COUNTIFS($BI31:BK31,"&gt;0",$BI31:BK31,"&lt;999")&gt;=$AK31),999,AQ31)</f>
        <v>#DIV/0!</v>
      </c>
      <c r="BM31" s="2" t="e">
        <f ca="1">IF(OR(COUNTIF($AN31:AR31,AR31)&gt;1,COUNTIFS($BI31:BL31,"&gt;0",$BI31:BL31,"&lt;999")&gt;=$AK31),999,AR31)</f>
        <v>#DIV/0!</v>
      </c>
      <c r="BN31" s="2" t="e">
        <f ca="1">IF(OR(COUNTIF($AN31:AS31,AS31)&gt;1,COUNTIFS($BI31:BM31,"&gt;0",$BI31:BM31,"&lt;999")&gt;=$AK31),999,AS31)</f>
        <v>#DIV/0!</v>
      </c>
      <c r="BO31" s="2" t="e">
        <f ca="1">IF(OR(COUNTIF($AN31:AT31,AT31)&gt;1,COUNTIFS($BI31:BN31,"&gt;0",$BI31:BN31,"&lt;999")&gt;=$AK31),999,AT31)</f>
        <v>#DIV/0!</v>
      </c>
      <c r="BP31" s="2" t="e">
        <f ca="1">IF(OR(COUNTIF($AN31:AU31,AU31)&gt;1,COUNTIFS($BI31:BO31,"&gt;0",$BI31:BO31,"&lt;999")&gt;=$AK31),999,AU31)</f>
        <v>#DIV/0!</v>
      </c>
      <c r="BQ31" s="2" t="e">
        <f ca="1">IF(OR(COUNTIF($AN31:AV31,AV31)&gt;1,COUNTIFS($BI31:BP31,"&gt;0",$BI31:BP31,"&lt;999")&gt;=$AK31),999,AV31)</f>
        <v>#DIV/0!</v>
      </c>
      <c r="BR31" s="2" t="e">
        <f ca="1">IF(OR(COUNTIF($AN31:AW31,AW31)&gt;1,COUNTIFS($BI31:BQ31,"&gt;0",$BI31:BQ31,"&lt;999")&gt;=$AK31),999,AW31)</f>
        <v>#DIV/0!</v>
      </c>
      <c r="BS31" s="2" t="e">
        <f ca="1">IF(OR(COUNTIF($AN31:AX31,AX31)&gt;1,COUNTIFS($BI31:BR31,"&gt;0",$BI31:BR31,"&lt;999")&gt;=$AK31),999,AX31)</f>
        <v>#DIV/0!</v>
      </c>
      <c r="BT31" s="2" t="e">
        <f ca="1">IF(OR(COUNTIF($AN31:AY31,AY31)&gt;1,COUNTIFS($BI31:BS31,"&gt;0",$BI31:BS31,"&lt;999")&gt;=$AK31),999,AY31)</f>
        <v>#DIV/0!</v>
      </c>
      <c r="BU31" s="2" t="e">
        <f ca="1">IF(OR(COUNTIF($AN31:AZ31,AZ31)&gt;1,COUNTIFS($BI31:BT31,"&gt;0",$BI31:BT31,"&lt;999")&gt;=$AK31),999,AZ31)</f>
        <v>#DIV/0!</v>
      </c>
      <c r="BV31" s="2" t="e">
        <f ca="1">IF(OR(COUNTIF($AN31:BA31,BA31)&gt;1,COUNTIFS($BI31:BU31,"&gt;0",$BI31:BU31,"&lt;999")&gt;=$AK31),999,BA31)</f>
        <v>#DIV/0!</v>
      </c>
      <c r="BW31" s="2" t="e">
        <f ca="1">IF(OR(COUNTIF($AN31:BB31,BB31)&gt;1,COUNTIFS($BI31:BV31,"&gt;0",$BI31:BV31,"&lt;999")&gt;=$AK31),999,BB31)</f>
        <v>#DIV/0!</v>
      </c>
      <c r="BX31" s="2" t="e">
        <f ca="1">IF(OR(COUNTIF($AN31:BC31,BC31)&gt;1,COUNTIFS($BI31:BW31,"&gt;0",$BI31:BW31,"&lt;999")&gt;=$AK31),999,BC31)</f>
        <v>#DIV/0!</v>
      </c>
      <c r="BY31" s="2" t="e">
        <f ca="1">IF(OR(COUNTIF($AN31:BD31,BD31)&gt;1,COUNTIFS($BI31:BX31,"&gt;0",$BI31:BX31,"&lt;999")&gt;=$AK31),999,BD31)</f>
        <v>#DIV/0!</v>
      </c>
      <c r="BZ31" s="2" t="e">
        <f ca="1">IF(OR(COUNTIF($AN31:BE31,BE31)&gt;1,COUNTIFS($BI31:BY31,"&gt;0",$BI31:BY31,"&lt;999")&gt;=$AK31),999,BE31)</f>
        <v>#DIV/0!</v>
      </c>
      <c r="CA31" s="2" t="e">
        <f ca="1">IF(OR(COUNTIF($AN31:BF31,BF31)&gt;1,COUNTIFS($BI31:BZ31,"&gt;0",$BI31:BZ31,"&lt;999")&gt;=$AK31),999,BF31)</f>
        <v>#DIV/0!</v>
      </c>
      <c r="CB31" s="2" t="e">
        <f ca="1">IF(OR(COUNTIF($AN31:BG31,BG31)&gt;1,COUNTIFS($BI31:CA31,"&gt;0",$BI31:CA31,"&lt;999")&gt;=$AK31),999,BG31)</f>
        <v>#DIV/0!</v>
      </c>
      <c r="CC31" s="2" t="e">
        <f ca="1">IF(OR(COUNTIF($AN31:BH31,BH31)&gt;1,COUNTIFS($BI31:CB31,"&gt;0",$BI31:CB31,"&lt;999")&gt;=$AK31),999,BH31)</f>
        <v>#DIV/0!</v>
      </c>
      <c r="CD31" s="2" t="e">
        <f t="shared" ca="1" si="20"/>
        <v>#DIV/0!</v>
      </c>
      <c r="CE31" s="2" t="e">
        <f t="shared" ca="1" si="17"/>
        <v>#DIV/0!</v>
      </c>
      <c r="CF31" s="2" t="e">
        <f t="shared" ca="1" si="17"/>
        <v>#DIV/0!</v>
      </c>
      <c r="CG31" s="2" t="str">
        <f t="shared" ca="1" si="17"/>
        <v/>
      </c>
    </row>
    <row r="32" spans="1:85" s="2" customFormat="1" ht="15" customHeight="1" thickTop="1">
      <c r="A32" s="11"/>
      <c r="B32" s="3"/>
      <c r="C32" s="3"/>
      <c r="D32" s="3"/>
      <c r="E32" s="6"/>
      <c r="F32" s="3"/>
      <c r="G32" s="3"/>
      <c r="I32" s="3"/>
      <c r="J32" s="3"/>
      <c r="K32" s="4"/>
      <c r="L32" s="54"/>
      <c r="T32" s="2">
        <f t="shared" si="5"/>
        <v>30</v>
      </c>
      <c r="U32" s="2" t="e">
        <f t="shared" si="8"/>
        <v>#DIV/0!</v>
      </c>
      <c r="V32" s="2">
        <f t="shared" si="7"/>
        <v>0</v>
      </c>
      <c r="W32" s="2">
        <f t="shared" si="0"/>
        <v>0</v>
      </c>
      <c r="X32" s="2">
        <f t="shared" si="1"/>
        <v>1</v>
      </c>
      <c r="Y32" s="2">
        <f t="shared" ca="1" si="2"/>
        <v>0</v>
      </c>
      <c r="AA32" s="2">
        <f ca="1">IF(AB32=0,0,COUNTIF(AB$2:AB32,"&gt;0"))</f>
        <v>0</v>
      </c>
      <c r="AB32" s="2">
        <f t="shared" ca="1" si="3"/>
        <v>0</v>
      </c>
      <c r="AC32" s="2">
        <f ca="1">IF(AD32=0,0,COUNTIF(AD$2:AD32,"&gt;0"))</f>
        <v>0</v>
      </c>
      <c r="AD32" s="2">
        <f t="shared" ca="1" si="4"/>
        <v>0</v>
      </c>
      <c r="AF32" s="61"/>
      <c r="AG32" s="61"/>
      <c r="AH32" s="61"/>
      <c r="AI32" s="3"/>
      <c r="AJ32" s="3"/>
      <c r="AK32" s="3"/>
      <c r="AL32" s="3"/>
      <c r="AM32" s="3"/>
      <c r="AN32" s="3"/>
      <c r="AO32" s="3"/>
      <c r="AP32" s="3"/>
      <c r="AQ32" s="3"/>
    </row>
    <row r="33" spans="1:43" s="2" customFormat="1" ht="18">
      <c r="A33" s="11"/>
      <c r="B33" s="3"/>
      <c r="D33" s="3"/>
      <c r="E33" s="6"/>
      <c r="F33" s="3"/>
      <c r="G33" s="3"/>
      <c r="H33" s="2" t="s">
        <v>17</v>
      </c>
      <c r="I33" s="3"/>
      <c r="J33" s="3"/>
      <c r="K33" s="4"/>
      <c r="L33" s="54"/>
      <c r="T33" s="2">
        <f t="shared" si="5"/>
        <v>31</v>
      </c>
      <c r="U33" s="2" t="e">
        <f t="shared" si="8"/>
        <v>#DIV/0!</v>
      </c>
      <c r="V33" s="2">
        <f t="shared" si="7"/>
        <v>0</v>
      </c>
      <c r="W33" s="2">
        <f t="shared" si="0"/>
        <v>0</v>
      </c>
      <c r="X33" s="2">
        <f t="shared" si="1"/>
        <v>1</v>
      </c>
      <c r="Y33" s="2">
        <f t="shared" ca="1" si="2"/>
        <v>0</v>
      </c>
      <c r="AA33" s="2">
        <f ca="1">IF(AB33=0,0,COUNTIF(AB$2:AB33,"&gt;0"))</f>
        <v>0</v>
      </c>
      <c r="AB33" s="2">
        <f t="shared" ca="1" si="3"/>
        <v>0</v>
      </c>
      <c r="AC33" s="2">
        <f ca="1">IF(AD33=0,0,COUNTIF(AD$2:AD33,"&gt;0"))</f>
        <v>0</v>
      </c>
      <c r="AD33" s="2">
        <f t="shared" ca="1" si="4"/>
        <v>0</v>
      </c>
      <c r="AF33" s="62"/>
      <c r="AG33" s="62"/>
      <c r="AH33" s="61"/>
      <c r="AI33" s="3"/>
      <c r="AJ33" s="3"/>
      <c r="AK33" s="3"/>
      <c r="AL33" s="3"/>
      <c r="AM33" s="3"/>
      <c r="AN33" s="3"/>
      <c r="AO33" s="3"/>
      <c r="AP33" s="3"/>
      <c r="AQ33" s="3"/>
    </row>
    <row r="34" spans="1:43" s="2" customFormat="1" ht="18.75" thickBot="1">
      <c r="A34" s="25" t="s">
        <v>37</v>
      </c>
      <c r="B34" s="13" t="str">
        <f>IF(OR($F$11="",M34&gt;F$18),"",VLOOKUP(M34,T$3:U$34,2,FALSE))</f>
        <v/>
      </c>
      <c r="C34" s="3" t="s">
        <v>10</v>
      </c>
      <c r="D34" s="13" t="str">
        <f ca="1">IF(B34="","",RAND())</f>
        <v/>
      </c>
      <c r="E34" s="6" t="s">
        <v>7</v>
      </c>
      <c r="F34" s="13" t="str">
        <f>IF(B34="","",B34*D34)</f>
        <v/>
      </c>
      <c r="G34" s="3" t="str">
        <f>IF($A$1="Mile Post","+","+  STA.")</f>
        <v>+  STA.</v>
      </c>
      <c r="H34" s="37" t="str">
        <f>IF(OR($F$11="",M34&gt;F$18),"",IF($A$1="Mile Post",VLOOKUP(M34,T$3:W$34,3,FALSE)+(M34-VLOOKUP(M34,T$3:X$34,5,FALSE))*B34,VLOOKUP(M34,T$3:W$34,3,FALSE)+(M34-VLOOKUP(M34,T$3:X$34,5,FALSE))*B34/100))</f>
        <v/>
      </c>
      <c r="I34" s="38" t="s">
        <v>7</v>
      </c>
      <c r="J34" s="113" t="str">
        <f>IF($A$1="Mile Post", "MILE POST", "STATION")</f>
        <v>STATION</v>
      </c>
      <c r="K34" s="114"/>
      <c r="L34" s="28" t="str">
        <f>IF(F34="","",IF($A$1="Mile Post",H34+F34,H34+(F34/100)))</f>
        <v/>
      </c>
      <c r="M34" s="2">
        <f>1+M29</f>
        <v>3</v>
      </c>
      <c r="N34" s="2">
        <f ca="1">IF(OR(AG34="",L$18=0),0,1)</f>
        <v>0</v>
      </c>
      <c r="T34" s="2">
        <f t="shared" si="5"/>
        <v>32</v>
      </c>
      <c r="U34" s="2" t="e">
        <f t="shared" si="8"/>
        <v>#DIV/0!</v>
      </c>
      <c r="V34" s="2">
        <f t="shared" si="7"/>
        <v>0</v>
      </c>
      <c r="W34" s="2">
        <f t="shared" si="0"/>
        <v>0</v>
      </c>
      <c r="X34" s="2">
        <f t="shared" si="1"/>
        <v>1</v>
      </c>
      <c r="Y34" s="2">
        <f t="shared" ca="1" si="2"/>
        <v>0</v>
      </c>
      <c r="AA34" s="2">
        <f ca="1">IF(AB34=0,0,COUNTIF(AB$2:AB34,"&gt;0"))</f>
        <v>0</v>
      </c>
      <c r="AB34" s="2">
        <f t="shared" ca="1" si="3"/>
        <v>0</v>
      </c>
      <c r="AC34" s="2">
        <f ca="1">IF(AD34=0,0,COUNTIF(AD$2:AD34,"&gt;0"))</f>
        <v>0</v>
      </c>
      <c r="AD34" s="2">
        <f t="shared" ca="1" si="4"/>
        <v>0</v>
      </c>
      <c r="AE34" s="2">
        <f ca="1">OFFSET(Y$2,MATCH(M34,T$3:T$34,0),0)</f>
        <v>0</v>
      </c>
      <c r="AF34" s="61"/>
      <c r="AG34" s="61" t="str">
        <f ca="1">IF(OFFSET(AC$2,M34,0)&gt;0,CONCATENATE("Joint Core # ",TEXT(OFFSET(AC$2,M34,0),"0")),"")</f>
        <v/>
      </c>
      <c r="AH34" s="61"/>
      <c r="AI34" s="3"/>
      <c r="AJ34" s="3"/>
      <c r="AK34" s="3"/>
      <c r="AL34" s="3"/>
      <c r="AM34" s="3"/>
      <c r="AN34" s="3"/>
      <c r="AO34" s="3"/>
      <c r="AP34" s="3"/>
      <c r="AQ34" s="3"/>
    </row>
    <row r="35" spans="1:43" s="2" customFormat="1" ht="9" customHeight="1" thickTop="1">
      <c r="B35" s="12"/>
      <c r="C35" s="3"/>
      <c r="D35" s="17"/>
      <c r="E35" s="6"/>
      <c r="F35" s="12"/>
      <c r="G35" s="3"/>
      <c r="I35" s="3"/>
      <c r="J35" s="3"/>
      <c r="K35" s="14"/>
      <c r="L35" s="54"/>
      <c r="AF35" s="61"/>
      <c r="AG35" s="61"/>
      <c r="AH35" s="61"/>
    </row>
    <row r="36" spans="1:43" s="2" customFormat="1" ht="18.75" thickBot="1">
      <c r="A36" s="11"/>
      <c r="B36" s="7" t="str">
        <f>IF(B34="","",B31)</f>
        <v/>
      </c>
      <c r="C36" s="3" t="s">
        <v>10</v>
      </c>
      <c r="D36" s="13" t="str">
        <f ca="1">IF(B36="","",RAND()*IF(J$6&lt;22,1,IF(RANDBETWEEN(0,1)=0,-1,1)))</f>
        <v/>
      </c>
      <c r="E36" s="6" t="s">
        <v>7</v>
      </c>
      <c r="F36" s="30" t="str">
        <f>IF(B36="","",IF(AND(ABS(B36*D36)&gt;(B36-1),AK8=""),B36-1,IF(ABS(B36*D36)&lt;1,1,B36*D36)))</f>
        <v/>
      </c>
      <c r="G36" s="36" t="s">
        <v>42</v>
      </c>
      <c r="H36" s="2" t="str">
        <f>IF(J$6&gt;21,IF(F36&lt;0,"(Offset Left)","(Offset Right)"),"(Offset)")</f>
        <v>(Offset)</v>
      </c>
      <c r="I36" s="6"/>
      <c r="J36" s="11" t="str">
        <f>IF(B36="","",IF(AND(ABS(B36*D36)&gt;(B36-1),AK$8=""),CONCATENATE(TEXT(B36-1,"0.0")," FT. max"),IF(ABS(B36*D36)&lt;1,"1 FT. min","")))</f>
        <v/>
      </c>
      <c r="L36" s="54"/>
      <c r="AF36" s="61"/>
      <c r="AG36" s="61"/>
      <c r="AH36" s="61"/>
    </row>
    <row r="37" spans="1:43" s="2" customFormat="1" ht="15" customHeight="1" thickTop="1">
      <c r="A37" s="11"/>
      <c r="B37" s="3"/>
      <c r="C37" s="3"/>
      <c r="D37" s="3"/>
      <c r="E37" s="6"/>
      <c r="F37" s="3"/>
      <c r="G37" s="3"/>
      <c r="H37" s="2" t="s">
        <v>17</v>
      </c>
      <c r="I37" s="3"/>
      <c r="J37" s="3"/>
      <c r="K37" s="4"/>
      <c r="L37" s="54"/>
      <c r="M37" s="11"/>
      <c r="AF37" s="61"/>
      <c r="AG37" s="61"/>
      <c r="AH37" s="61"/>
    </row>
    <row r="38" spans="1:43" s="2" customFormat="1" ht="18">
      <c r="A38" s="11"/>
      <c r="B38" s="3"/>
      <c r="D38" s="3"/>
      <c r="E38" s="6"/>
      <c r="F38" s="3"/>
      <c r="G38" s="3"/>
      <c r="I38" s="3"/>
      <c r="J38" s="3"/>
      <c r="K38" s="4"/>
      <c r="L38" s="54"/>
      <c r="AF38" s="62"/>
      <c r="AG38" s="62"/>
      <c r="AH38" s="61"/>
    </row>
    <row r="39" spans="1:43" s="2" customFormat="1" ht="18.75" thickBot="1">
      <c r="A39" s="25" t="s">
        <v>38</v>
      </c>
      <c r="B39" s="13" t="str">
        <f>IF(OR($F$11="",M39&gt;F$18),"",VLOOKUP(M39,T$3:U$34,2,FALSE))</f>
        <v/>
      </c>
      <c r="C39" s="3" t="s">
        <v>10</v>
      </c>
      <c r="D39" s="13" t="str">
        <f ca="1">IF(B39="","",RAND())</f>
        <v/>
      </c>
      <c r="E39" s="6" t="s">
        <v>7</v>
      </c>
      <c r="F39" s="13" t="str">
        <f>IF(B39="","",B39*D39)</f>
        <v/>
      </c>
      <c r="G39" s="3" t="str">
        <f>IF($A$1="Mile Post","+","+  STA.")</f>
        <v>+  STA.</v>
      </c>
      <c r="H39" s="37" t="str">
        <f>IF(OR($F$11="",M39&gt;F$18),"",IF($A$1="Mile Post",VLOOKUP(M39,T$3:W$34,3,FALSE)+(M39-VLOOKUP(M39,T$3:X$34,5,FALSE))*B39,VLOOKUP(M39,T$3:W$34,3,FALSE)+(M39-VLOOKUP(M39,T$3:X$34,5,FALSE))*B39/100))</f>
        <v/>
      </c>
      <c r="I39" s="38" t="s">
        <v>7</v>
      </c>
      <c r="J39" s="113" t="str">
        <f>IF($A$1="Mile Post", "MILE POST", "STATION")</f>
        <v>STATION</v>
      </c>
      <c r="K39" s="114"/>
      <c r="L39" s="28" t="str">
        <f>IF(F39="","",IF($A$1="Mile Post",H39+F39,H39+(F39/100)))</f>
        <v/>
      </c>
      <c r="M39" s="2">
        <f>1+M34</f>
        <v>4</v>
      </c>
      <c r="N39" s="2">
        <f ca="1">IF(OR(AG39="",L$18=0),0,1)</f>
        <v>0</v>
      </c>
      <c r="AE39" s="2">
        <f ca="1">OFFSET(Y$2,MATCH(M39,T$3:T$34,0),0)</f>
        <v>0</v>
      </c>
      <c r="AF39" s="61"/>
      <c r="AG39" s="61" t="str">
        <f ca="1">IF(OFFSET(AC$2,M39,0)&gt;0,CONCATENATE("Joint Core # ",TEXT(OFFSET(AC$2,M39,0),"0")),"")</f>
        <v/>
      </c>
      <c r="AH39" s="61"/>
    </row>
    <row r="40" spans="1:43" s="2" customFormat="1" ht="9" customHeight="1" thickTop="1">
      <c r="B40" s="12"/>
      <c r="C40" s="3"/>
      <c r="D40" s="17"/>
      <c r="E40" s="6"/>
      <c r="F40" s="12"/>
      <c r="G40" s="3"/>
      <c r="I40" s="3"/>
      <c r="J40" s="3"/>
      <c r="K40" s="14"/>
      <c r="L40" s="54"/>
      <c r="AF40" s="61"/>
      <c r="AG40" s="61"/>
      <c r="AH40" s="61"/>
    </row>
    <row r="41" spans="1:43" s="2" customFormat="1" ht="18.75" thickBot="1">
      <c r="A41" s="11"/>
      <c r="B41" s="7" t="str">
        <f>IF(B39="","",B36)</f>
        <v/>
      </c>
      <c r="C41" s="3" t="s">
        <v>10</v>
      </c>
      <c r="D41" s="13" t="str">
        <f ca="1">IF(B41="","",RAND()*IF(J$6&lt;22,1,IF(RANDBETWEEN(0,1)=0,-1,1)))</f>
        <v/>
      </c>
      <c r="E41" s="6" t="s">
        <v>7</v>
      </c>
      <c r="F41" s="30" t="str">
        <f>IF(B41="","",IF(AND(ABS(B41*D41)&gt;(B41-1),AK8=""),B41-1,IF(ABS(B41*D41)&lt;1,1,B41*D41)))</f>
        <v/>
      </c>
      <c r="G41" s="36" t="s">
        <v>42</v>
      </c>
      <c r="H41" s="2" t="str">
        <f>IF(J$6&gt;21,IF(F41&lt;0,"(Offset Left)","(Offset Right)"),"(Offset)")</f>
        <v>(Offset)</v>
      </c>
      <c r="I41" s="6"/>
      <c r="J41" s="11" t="str">
        <f>IF(B41="","",IF(AND(ABS(B41*D41)&gt;(B41-1),AK$8=""),CONCATENATE(TEXT(B41-1,"0.0")," FT. max"),IF(ABS(B41*D41)&lt;1,"1 FT. min","")))</f>
        <v/>
      </c>
      <c r="L41" s="54"/>
      <c r="AF41" s="61"/>
      <c r="AG41" s="61"/>
      <c r="AH41" s="61"/>
    </row>
    <row r="42" spans="1:43" s="2" customFormat="1" ht="15" customHeight="1" thickTop="1">
      <c r="A42" s="11"/>
      <c r="B42" s="3"/>
      <c r="C42" s="3"/>
      <c r="D42" s="3"/>
      <c r="E42" s="6"/>
      <c r="F42" s="3"/>
      <c r="G42" s="3"/>
      <c r="H42" s="2" t="s">
        <v>17</v>
      </c>
      <c r="I42" s="3"/>
      <c r="J42" s="3"/>
      <c r="K42" s="4"/>
      <c r="L42" s="54"/>
      <c r="AF42" s="61"/>
      <c r="AG42" s="61"/>
      <c r="AH42" s="61"/>
    </row>
    <row r="43" spans="1:43" s="2" customFormat="1" ht="18">
      <c r="A43" s="11"/>
      <c r="B43" s="3"/>
      <c r="D43" s="3" t="s">
        <v>17</v>
      </c>
      <c r="E43" s="6"/>
      <c r="F43" s="3"/>
      <c r="G43" s="3"/>
      <c r="I43" s="3"/>
      <c r="J43" s="3"/>
      <c r="K43" s="4"/>
      <c r="L43" s="54"/>
      <c r="AF43" s="62"/>
      <c r="AG43" s="62"/>
      <c r="AH43" s="61"/>
    </row>
    <row r="44" spans="1:43" s="2" customFormat="1" ht="18.75" thickBot="1">
      <c r="A44" s="25" t="s">
        <v>39</v>
      </c>
      <c r="B44" s="13" t="str">
        <f>IF(OR($F$11="",M44&gt;F$18),"",VLOOKUP(M44,T$3:U$34,2,FALSE))</f>
        <v/>
      </c>
      <c r="C44" s="3" t="s">
        <v>10</v>
      </c>
      <c r="D44" s="13" t="str">
        <f ca="1">IF(B44="","",RAND())</f>
        <v/>
      </c>
      <c r="E44" s="6" t="s">
        <v>7</v>
      </c>
      <c r="F44" s="13" t="str">
        <f>IF(B44="","",B44*D44)</f>
        <v/>
      </c>
      <c r="G44" s="3" t="str">
        <f>IF($A$1="Mile Post","+","+  STA.")</f>
        <v>+  STA.</v>
      </c>
      <c r="H44" s="37" t="str">
        <f>IF(OR($F$11="",M44&gt;F$18),"",IF($A$1="Mile Post",VLOOKUP(M44,T$3:W$34,3,FALSE)+(M44-VLOOKUP(M44,T$3:X$34,5,FALSE))*B44,VLOOKUP(M44,T$3:W$34,3,FALSE)+(M44-VLOOKUP(M44,T$3:X$34,5,FALSE))*B44/100))</f>
        <v/>
      </c>
      <c r="I44" s="38" t="s">
        <v>7</v>
      </c>
      <c r="J44" s="113" t="str">
        <f>IF($A$1="Mile Post", "MILE POST", "STATION")</f>
        <v>STATION</v>
      </c>
      <c r="K44" s="114"/>
      <c r="L44" s="28" t="str">
        <f>IF(F44="","",IF($A$1="Mile Post",H44+F44,H44+(F44/100)))</f>
        <v/>
      </c>
      <c r="M44" s="2">
        <f>1+M39</f>
        <v>5</v>
      </c>
      <c r="N44" s="2">
        <f ca="1">IF(OR(AG44="",L$18=0),0,1)</f>
        <v>0</v>
      </c>
      <c r="AE44" s="2">
        <f ca="1">OFFSET(Y$2,MATCH(M44,T$3:T$34,0),0)</f>
        <v>0</v>
      </c>
      <c r="AF44" s="61"/>
      <c r="AG44" s="61" t="str">
        <f ca="1">IF(OFFSET(AC$2,M44,0)&gt;0,CONCATENATE("Joint Core # ",TEXT(OFFSET(AC$2,M44,0),"0")),"")</f>
        <v/>
      </c>
      <c r="AH44" s="61"/>
    </row>
    <row r="45" spans="1:43" s="2" customFormat="1" ht="9" customHeight="1" thickTop="1">
      <c r="B45" s="12"/>
      <c r="C45" s="3"/>
      <c r="D45" s="17"/>
      <c r="E45" s="6"/>
      <c r="F45" s="12"/>
      <c r="G45" s="3"/>
      <c r="I45" s="3"/>
      <c r="J45" s="3"/>
      <c r="K45" s="14"/>
      <c r="L45" s="54"/>
      <c r="AF45" s="61"/>
      <c r="AG45" s="61"/>
      <c r="AH45" s="61"/>
    </row>
    <row r="46" spans="1:43" s="2" customFormat="1" ht="18.75" thickBot="1">
      <c r="A46" s="11"/>
      <c r="B46" s="7" t="str">
        <f>IF(B44="","",B41)</f>
        <v/>
      </c>
      <c r="C46" s="3" t="s">
        <v>10</v>
      </c>
      <c r="D46" s="13" t="str">
        <f ca="1">IF(B46="","",RAND()*IF(J$6&lt;22,1,IF(RANDBETWEEN(0,1)=0,-1,1)))</f>
        <v/>
      </c>
      <c r="E46" s="6" t="s">
        <v>7</v>
      </c>
      <c r="F46" s="30" t="str">
        <f>IF(B46="","",IF(AND(ABS(B46*D46)&gt;(B46-1),AK$8=""),B46-1,IF(ABS(B46*D46)&lt;1,1,B46*D46)))</f>
        <v/>
      </c>
      <c r="G46" s="36" t="s">
        <v>42</v>
      </c>
      <c r="H46" s="2" t="str">
        <f>IF(J$6&gt;21,IF(F46&lt;0,"(Offset Left)","(Offset Right)"),"(Offset)")</f>
        <v>(Offset)</v>
      </c>
      <c r="I46" s="6"/>
      <c r="J46" s="11" t="str">
        <f>IF(B46="","",IF(AND(ABS(B46*D46)&gt;(B46-1),AK$8=""),CONCATENATE(TEXT(B46-1,"0.0")," FT. max"),IF(ABS(B46*D46)&lt;1,"1 FT. min","")))</f>
        <v/>
      </c>
      <c r="L46" s="54"/>
      <c r="AF46" s="61"/>
      <c r="AG46" s="61"/>
      <c r="AH46" s="61"/>
    </row>
    <row r="47" spans="1:43" s="2" customFormat="1" ht="15" customHeight="1" thickTop="1">
      <c r="A47" s="11"/>
      <c r="B47" s="3"/>
      <c r="C47" s="3"/>
      <c r="D47" s="3"/>
      <c r="E47" s="6"/>
      <c r="F47" s="3"/>
      <c r="G47" s="3"/>
      <c r="I47" s="3"/>
      <c r="J47" s="3"/>
      <c r="K47" s="4"/>
      <c r="L47" s="54"/>
      <c r="AF47" s="61"/>
      <c r="AG47" s="61"/>
      <c r="AH47" s="61"/>
    </row>
    <row r="48" spans="1:43" s="2" customFormat="1" ht="18">
      <c r="A48" s="11"/>
      <c r="B48" s="3"/>
      <c r="D48" s="3"/>
      <c r="E48" s="6"/>
      <c r="F48" s="3"/>
      <c r="G48" s="3"/>
      <c r="I48" s="3"/>
      <c r="J48" s="113"/>
      <c r="K48" s="114"/>
      <c r="L48" s="54"/>
      <c r="AF48" s="62"/>
      <c r="AG48" s="62"/>
      <c r="AH48" s="61"/>
    </row>
    <row r="49" spans="1:34" s="2" customFormat="1" ht="18.75" thickBot="1">
      <c r="A49" s="25" t="s">
        <v>40</v>
      </c>
      <c r="B49" s="13" t="str">
        <f>IF(OR($F$11="",M49&gt;F$18),"",VLOOKUP(M49,T$3:U$34,2,FALSE))</f>
        <v/>
      </c>
      <c r="C49" s="3" t="s">
        <v>10</v>
      </c>
      <c r="D49" s="13" t="str">
        <f ca="1">IF(B49="","",RAND())</f>
        <v/>
      </c>
      <c r="E49" s="6" t="s">
        <v>7</v>
      </c>
      <c r="F49" s="13" t="str">
        <f>IF(B49="","",B49*D49)</f>
        <v/>
      </c>
      <c r="G49" s="3" t="str">
        <f>IF($A$1="Mile Post","+","+  STA.")</f>
        <v>+  STA.</v>
      </c>
      <c r="H49" s="37" t="str">
        <f>IF(OR($F$11="",M49&gt;F$18),"",IF($A$1="Mile Post",VLOOKUP(M49,T$3:W$34,3,FALSE)+(M49-VLOOKUP(M49,T$3:X$34,5,FALSE))*B49,VLOOKUP(M49,T$3:W$34,3,FALSE)+(M49-VLOOKUP(M49,T$3:X$34,5,FALSE))*B49/100))</f>
        <v/>
      </c>
      <c r="I49" s="38" t="s">
        <v>7</v>
      </c>
      <c r="J49" s="113" t="str">
        <f>IF($A$1="Mile Post", "MILE POST", "STATION")</f>
        <v>STATION</v>
      </c>
      <c r="K49" s="114"/>
      <c r="L49" s="28" t="str">
        <f>IF(F49="","",IF($A$1="Mile Post",H49+F49,H49+(F49/100)))</f>
        <v/>
      </c>
      <c r="M49" s="2">
        <f>1+M44</f>
        <v>6</v>
      </c>
      <c r="N49" s="2">
        <f ca="1">IF(OR(AG49="",L$18=0),0,1)</f>
        <v>0</v>
      </c>
      <c r="AE49" s="2">
        <f ca="1">OFFSET(Y$2,MATCH(M49,T$3:T$34,0),0)</f>
        <v>0</v>
      </c>
      <c r="AF49" s="61"/>
      <c r="AG49" s="61" t="str">
        <f ca="1">IF(OFFSET(AC$2,M49,0)&gt;0,CONCATENATE("Joint Core # ",TEXT(OFFSET(AC$2,M49,0),"0")),"")</f>
        <v/>
      </c>
      <c r="AH49" s="61"/>
    </row>
    <row r="50" spans="1:34" s="2" customFormat="1" ht="9" customHeight="1" thickTop="1">
      <c r="B50" s="12"/>
      <c r="C50" s="3"/>
      <c r="D50" s="17"/>
      <c r="E50" s="6"/>
      <c r="F50" s="12"/>
      <c r="G50" s="3"/>
      <c r="I50" s="3"/>
      <c r="J50" s="3"/>
      <c r="K50" s="14"/>
      <c r="L50" s="54"/>
      <c r="AF50" s="61"/>
      <c r="AG50" s="61"/>
      <c r="AH50" s="61"/>
    </row>
    <row r="51" spans="1:34" s="2" customFormat="1" ht="18.75" thickBot="1">
      <c r="A51" s="11"/>
      <c r="B51" s="7" t="str">
        <f>IF(B49="","",B46)</f>
        <v/>
      </c>
      <c r="C51" s="3" t="s">
        <v>10</v>
      </c>
      <c r="D51" s="13" t="str">
        <f ca="1">IF(B51="","",RAND()*IF(J$6&lt;22,1,IF(RANDBETWEEN(0,1)=0,-1,1)))</f>
        <v/>
      </c>
      <c r="E51" s="6" t="s">
        <v>7</v>
      </c>
      <c r="F51" s="30" t="str">
        <f>IF(B51="","",IF(AND(ABS(B51*D51)&gt;(B51-1),AK$8=""),B51-1,IF(ABS(B51*D51)&lt;1,1,B51*D51)))</f>
        <v/>
      </c>
      <c r="G51" s="36" t="s">
        <v>42</v>
      </c>
      <c r="H51" s="2" t="str">
        <f>IF(J$6&gt;21,IF(F51&lt;0,"(Offset Left)","(Offset Right)"),"(Offset)")</f>
        <v>(Offset)</v>
      </c>
      <c r="I51" s="6"/>
      <c r="J51" s="11" t="str">
        <f>IF(B51="","",IF(AND(ABS(B51*D51)&gt;(B51-1),AK$8=""),CONCATENATE(TEXT(B51-1,"0.0")," FT. max"),IF(ABS(B51*D51)&lt;1,"1 FT. min","")))</f>
        <v/>
      </c>
      <c r="L51" s="54"/>
      <c r="AF51" s="61"/>
      <c r="AG51" s="61"/>
      <c r="AH51" s="61"/>
    </row>
    <row r="52" spans="1:34" s="2" customFormat="1" ht="15" customHeight="1" thickTop="1">
      <c r="A52" s="11"/>
      <c r="B52" s="3"/>
      <c r="C52" s="3"/>
      <c r="D52" s="3"/>
      <c r="E52" s="6"/>
      <c r="F52" s="3"/>
      <c r="G52" s="3"/>
      <c r="I52" s="3"/>
      <c r="J52" s="3"/>
      <c r="K52" s="4"/>
      <c r="L52" s="54"/>
      <c r="AF52" s="61"/>
      <c r="AG52" s="61"/>
      <c r="AH52" s="61"/>
    </row>
    <row r="53" spans="1:34" s="2" customFormat="1" ht="18">
      <c r="A53" s="11"/>
      <c r="B53" s="3"/>
      <c r="D53" s="3"/>
      <c r="E53" s="6"/>
      <c r="F53" s="3"/>
      <c r="G53" s="3"/>
      <c r="I53" s="3"/>
      <c r="J53" s="3"/>
      <c r="K53" s="4"/>
      <c r="L53" s="54"/>
      <c r="AF53" s="62"/>
      <c r="AG53" s="62"/>
      <c r="AH53" s="61"/>
    </row>
    <row r="54" spans="1:34" s="2" customFormat="1" ht="18.75" thickBot="1">
      <c r="A54" s="25" t="s">
        <v>41</v>
      </c>
      <c r="B54" s="13" t="str">
        <f>IF(OR($F$11="",M54&gt;F$18),"",VLOOKUP(M54,T$3:U$34,2,FALSE))</f>
        <v/>
      </c>
      <c r="C54" s="3" t="s">
        <v>10</v>
      </c>
      <c r="D54" s="13" t="str">
        <f ca="1">IF(B54="","",RAND())</f>
        <v/>
      </c>
      <c r="E54" s="6" t="s">
        <v>7</v>
      </c>
      <c r="F54" s="13" t="str">
        <f>IF(B54="","",B54*D54)</f>
        <v/>
      </c>
      <c r="G54" s="3" t="str">
        <f>IF($A$1="Mile Post","+","+  STA.")</f>
        <v>+  STA.</v>
      </c>
      <c r="H54" s="37" t="str">
        <f>IF(OR($F$11="",M54&gt;F$18),"",IF($A$1="Mile Post",VLOOKUP(M54,T$3:W$34,3,FALSE)+(M54-VLOOKUP(M54,T$3:X$34,5,FALSE))*B54,VLOOKUP(M54,T$3:W$34,3,FALSE)+(M54-VLOOKUP(M54,T$3:X$34,5,FALSE))*B54/100))</f>
        <v/>
      </c>
      <c r="I54" s="38" t="s">
        <v>7</v>
      </c>
      <c r="J54" s="113" t="str">
        <f>IF($A$1="Mile Post", "MILE POST", "STATION")</f>
        <v>STATION</v>
      </c>
      <c r="K54" s="114"/>
      <c r="L54" s="28" t="str">
        <f>IF(F54="","",IF($A$1="Mile Post",H54+F54,H54+(F54/100)))</f>
        <v/>
      </c>
      <c r="M54" s="2">
        <f>1+M49</f>
        <v>7</v>
      </c>
      <c r="N54" s="2">
        <f ca="1">IF(OR(AG54="",L$18=0),0,1)</f>
        <v>0</v>
      </c>
      <c r="AE54" s="2">
        <f ca="1">OFFSET(Y$2,MATCH(M54,T$3:T$34,0),0)</f>
        <v>0</v>
      </c>
      <c r="AF54" s="61"/>
      <c r="AG54" s="61" t="str">
        <f ca="1">IF(OFFSET(AC$2,M54,0)&gt;0,CONCATENATE("Joint Core # ",TEXT(OFFSET(AC$2,M54,0),"0")),"")</f>
        <v/>
      </c>
      <c r="AH54" s="61"/>
    </row>
    <row r="55" spans="1:34" s="2" customFormat="1" ht="9" customHeight="1" thickTop="1">
      <c r="B55" s="12"/>
      <c r="C55" s="3"/>
      <c r="D55" s="17"/>
      <c r="E55" s="6"/>
      <c r="F55" s="15"/>
      <c r="G55" s="3"/>
      <c r="K55" s="14"/>
      <c r="L55" s="54"/>
      <c r="AF55" s="61"/>
      <c r="AG55" s="61"/>
      <c r="AH55" s="61"/>
    </row>
    <row r="56" spans="1:34" s="2" customFormat="1" ht="18.75" thickBot="1">
      <c r="B56" s="7" t="str">
        <f>IF(B54="","",B51)</f>
        <v/>
      </c>
      <c r="C56" s="3" t="s">
        <v>10</v>
      </c>
      <c r="D56" s="13" t="str">
        <f ca="1">IF(B56="","",RAND()*IF(J$6&lt;22,1,IF(RANDBETWEEN(0,1)=0,-1,1)))</f>
        <v/>
      </c>
      <c r="E56" s="6" t="s">
        <v>7</v>
      </c>
      <c r="F56" s="30" t="str">
        <f>IF(B56="","",IF(AND(ABS(B56*D56)&gt;(B56-1),AK$8=""),B56-1,IF(ABS(B56*D56)&lt;1,1,B56*D56)))</f>
        <v/>
      </c>
      <c r="G56" s="36" t="s">
        <v>42</v>
      </c>
      <c r="H56" s="2" t="str">
        <f>IF(J$6&gt;21,IF(F56&lt;0,"(Offset Left)","(Offset Right)"),"(Offset)")</f>
        <v>(Offset)</v>
      </c>
      <c r="I56" s="26"/>
      <c r="J56" s="11" t="str">
        <f>IF(B56="","",IF(AND(ABS(B56*D56)&gt;(B56-1),AK$8=""),CONCATENATE(TEXT(B56-1,"0.0")," FT. max"),IF(ABS(B56*D56)&lt;1,"1 FT. min","")))</f>
        <v/>
      </c>
      <c r="L56" s="54"/>
      <c r="AF56" s="61"/>
      <c r="AG56" s="61"/>
      <c r="AH56" s="61"/>
    </row>
    <row r="57" spans="1:34" s="2" customFormat="1" ht="18.75" thickTop="1">
      <c r="B57" s="51"/>
      <c r="C57" s="3"/>
      <c r="D57" s="17"/>
      <c r="E57" s="6"/>
      <c r="F57" s="52"/>
      <c r="G57" s="36"/>
      <c r="H57" s="29"/>
      <c r="I57" s="26"/>
      <c r="J57" s="26"/>
      <c r="L57" s="54"/>
      <c r="AF57" s="61"/>
      <c r="AG57" s="61"/>
      <c r="AH57" s="61"/>
    </row>
    <row r="58" spans="1:34" s="2" customFormat="1" ht="18">
      <c r="A58" s="11"/>
      <c r="B58" s="3"/>
      <c r="D58" s="3"/>
      <c r="E58" s="6"/>
      <c r="F58" s="3"/>
      <c r="G58" s="3"/>
      <c r="I58" s="3"/>
      <c r="J58" s="3"/>
      <c r="K58" s="4"/>
      <c r="L58" s="54"/>
      <c r="AF58" s="62"/>
      <c r="AG58" s="62"/>
      <c r="AH58" s="61"/>
    </row>
    <row r="59" spans="1:34" s="2" customFormat="1" ht="18.75" thickBot="1">
      <c r="A59" s="25" t="s">
        <v>63</v>
      </c>
      <c r="B59" s="13" t="str">
        <f>IF(OR($F$11="",M59&gt;F$18),"",VLOOKUP(M59,T$3:U$34,2,FALSE))</f>
        <v/>
      </c>
      <c r="C59" s="3" t="s">
        <v>10</v>
      </c>
      <c r="D59" s="13" t="str">
        <f ca="1">IF(B59="","",RAND())</f>
        <v/>
      </c>
      <c r="E59" s="6" t="s">
        <v>7</v>
      </c>
      <c r="F59" s="13" t="str">
        <f>IF(B59="","",B59*D59)</f>
        <v/>
      </c>
      <c r="G59" s="3" t="str">
        <f>IF($A$1="Mile Post","+","+  STA.")</f>
        <v>+  STA.</v>
      </c>
      <c r="H59" s="37" t="str">
        <f>IF(OR($F$11="",M59&gt;F$18),"",IF($A$1="Mile Post",VLOOKUP(M59,T$3:W$34,3,FALSE)+(M59-VLOOKUP(M59,T$3:X$34,5,FALSE))*B59,VLOOKUP(M59,T$3:W$34,3,FALSE)+(M59-VLOOKUP(M59,T$3:X$34,5,FALSE))*B59/100))</f>
        <v/>
      </c>
      <c r="I59" s="38" t="s">
        <v>7</v>
      </c>
      <c r="J59" s="113" t="str">
        <f>IF($A$1="Mile Post", "MILE POST", "STATION")</f>
        <v>STATION</v>
      </c>
      <c r="K59" s="114"/>
      <c r="L59" s="28" t="str">
        <f>IF(F59="","",IF($A$1="Mile Post",H59+F59,H59+(F59/100)))</f>
        <v/>
      </c>
      <c r="M59" s="2">
        <f>1+M54</f>
        <v>8</v>
      </c>
      <c r="N59" s="2">
        <f ca="1">IF(OR(AG59="",L$18=0),0,1)</f>
        <v>0</v>
      </c>
      <c r="AE59" s="2">
        <f ca="1">OFFSET(Y$2,MATCH(M59,T$3:T$34,0),0)</f>
        <v>0</v>
      </c>
      <c r="AF59" s="61"/>
      <c r="AG59" s="61" t="str">
        <f ca="1">IF(OFFSET(AC$2,M59,0)&gt;0,CONCATENATE("Joint Core # ",TEXT(OFFSET(AC$2,M59,0),"0")),"")</f>
        <v/>
      </c>
      <c r="AH59" s="61"/>
    </row>
    <row r="60" spans="1:34" s="2" customFormat="1" ht="9" customHeight="1" thickTop="1">
      <c r="B60" s="12"/>
      <c r="C60" s="3"/>
      <c r="D60" s="17"/>
      <c r="E60" s="6"/>
      <c r="F60" s="15"/>
      <c r="G60" s="3"/>
      <c r="K60" s="14"/>
      <c r="L60" s="54"/>
      <c r="AF60" s="61"/>
      <c r="AG60" s="61"/>
      <c r="AH60" s="61"/>
    </row>
    <row r="61" spans="1:34" s="2" customFormat="1" ht="18.75" thickBot="1">
      <c r="B61" s="7" t="str">
        <f>IF(B59="","",B56)</f>
        <v/>
      </c>
      <c r="C61" s="3" t="s">
        <v>10</v>
      </c>
      <c r="D61" s="13" t="str">
        <f ca="1">IF(B61="","",RAND()*IF(J$6&lt;22,1,IF(RANDBETWEEN(0,1)=0,-1,1)))</f>
        <v/>
      </c>
      <c r="E61" s="6" t="s">
        <v>7</v>
      </c>
      <c r="F61" s="30" t="str">
        <f>IF(B61="","",IF(AND(ABS(B61*D61)&gt;(B61-1),AK$8=""),B61-1,IF(ABS(B61*D61)&lt;1,1,B61*D61)))</f>
        <v/>
      </c>
      <c r="G61" s="36" t="s">
        <v>42</v>
      </c>
      <c r="H61" s="2" t="str">
        <f>IF(J$6&gt;21,IF(F61&lt;0,"(Offset Left)","(Offset Right)"),"(Offset)")</f>
        <v>(Offset)</v>
      </c>
      <c r="I61" s="26"/>
      <c r="J61" s="11" t="str">
        <f>IF(B61="","",IF(AND(ABS(B61*D61)&gt;(B61-1),AK$8=""),CONCATENATE(TEXT(B61-1,"0.0")," FT. max"),IF(ABS(B61*D61)&lt;1,"1 FT. min","")))</f>
        <v/>
      </c>
      <c r="L61" s="54"/>
      <c r="AF61" s="61"/>
      <c r="AG61" s="61"/>
      <c r="AH61" s="61"/>
    </row>
    <row r="62" spans="1:34" s="2" customFormat="1" ht="18.75" thickTop="1">
      <c r="B62" s="51"/>
      <c r="C62" s="3"/>
      <c r="D62" s="17"/>
      <c r="E62" s="6"/>
      <c r="F62" s="52"/>
      <c r="G62" s="36"/>
      <c r="H62" s="29"/>
      <c r="I62" s="26"/>
      <c r="J62" s="26"/>
      <c r="L62" s="54"/>
      <c r="AF62" s="61"/>
      <c r="AG62" s="61"/>
      <c r="AH62" s="61"/>
    </row>
    <row r="63" spans="1:34" s="2" customFormat="1" ht="18">
      <c r="A63" s="11"/>
      <c r="B63" s="3"/>
      <c r="D63" s="3"/>
      <c r="E63" s="6"/>
      <c r="F63" s="3"/>
      <c r="G63" s="3"/>
      <c r="I63" s="3"/>
      <c r="J63" s="3"/>
      <c r="K63" s="4"/>
      <c r="L63" s="54"/>
      <c r="AF63" s="62"/>
      <c r="AG63" s="62"/>
      <c r="AH63" s="61"/>
    </row>
    <row r="64" spans="1:34" s="2" customFormat="1" ht="18.75" thickBot="1">
      <c r="A64" s="25" t="str">
        <f>IF(F$18&lt;M64,"",CONCATENATE("CORE # ",TEXT(M64,"0"),":"))</f>
        <v/>
      </c>
      <c r="B64" s="13" t="str">
        <f>IF(OR($F$11="",M64&gt;F$18),"",VLOOKUP(M64,T$3:U$34,2,FALSE))</f>
        <v/>
      </c>
      <c r="C64" s="3" t="s">
        <v>10</v>
      </c>
      <c r="D64" s="13" t="str">
        <f ca="1">IF(B64="","",RAND())</f>
        <v/>
      </c>
      <c r="E64" s="6" t="s">
        <v>7</v>
      </c>
      <c r="F64" s="13" t="str">
        <f>IF(B64="","",B64*D64)</f>
        <v/>
      </c>
      <c r="G64" s="3" t="str">
        <f>IF($A$1="Mile Post","+","+  STA.")</f>
        <v>+  STA.</v>
      </c>
      <c r="H64" s="37" t="str">
        <f>IF(OR($F$11="",M64&gt;F$18),"",IF($A$1="Mile Post",VLOOKUP(M64,T$3:W$34,3,FALSE)+(M64-VLOOKUP(M64,T$3:X$34,5,FALSE))*B64,VLOOKUP(M64,T$3:W$34,3,FALSE)+(M64-VLOOKUP(M64,T$3:X$34,5,FALSE))*B64/100))</f>
        <v/>
      </c>
      <c r="I64" s="38" t="s">
        <v>7</v>
      </c>
      <c r="J64" s="113" t="str">
        <f>IF($A$1="Mile Post", "MILE POST", "STATION")</f>
        <v>STATION</v>
      </c>
      <c r="K64" s="114"/>
      <c r="L64" s="28" t="str">
        <f>IF(F64="","",IF($A$1="Mile Post",H64+F64,H64+(F64/100)))</f>
        <v/>
      </c>
      <c r="M64" s="2">
        <f>1+M59</f>
        <v>9</v>
      </c>
      <c r="N64" s="2">
        <f ca="1">IF(OR(AG64="",L$18=0),0,1)</f>
        <v>0</v>
      </c>
      <c r="AE64" s="2" t="str">
        <f ca="1">IF(A64="","",OFFSET(Y$2,MATCH(M64,T$3:T$34,0),0))</f>
        <v/>
      </c>
      <c r="AF64" s="61"/>
      <c r="AG64" s="61" t="str">
        <f ca="1">IF(OFFSET(AC$2,M64,0)&gt;0,CONCATENATE("Joint Core # ",TEXT(OFFSET(AC$2,M64,0),"0")),"")</f>
        <v/>
      </c>
      <c r="AH64" s="61"/>
    </row>
    <row r="65" spans="1:34" s="2" customFormat="1" ht="9" customHeight="1" thickTop="1">
      <c r="B65" s="12"/>
      <c r="C65" s="3"/>
      <c r="D65" s="17"/>
      <c r="E65" s="6"/>
      <c r="F65" s="15"/>
      <c r="G65" s="3"/>
      <c r="K65" s="14"/>
      <c r="L65" s="54"/>
      <c r="AF65" s="61"/>
      <c r="AG65" s="61"/>
      <c r="AH65" s="61"/>
    </row>
    <row r="66" spans="1:34" s="2" customFormat="1" ht="18.75" thickBot="1">
      <c r="B66" s="7" t="str">
        <f>IF(B64="","",B61)</f>
        <v/>
      </c>
      <c r="C66" s="3" t="s">
        <v>10</v>
      </c>
      <c r="D66" s="13" t="str">
        <f ca="1">IF(B66="","",RAND()*IF(J$6&lt;22,1,IF(RANDBETWEEN(0,1)=0,-1,1)))</f>
        <v/>
      </c>
      <c r="E66" s="6" t="s">
        <v>7</v>
      </c>
      <c r="F66" s="30" t="str">
        <f>IF(B66="","",IF(AND(ABS(B66*D66)&gt;(B66-1),AK$8=""),B66-1,IF(ABS(B66*D66)&lt;1,1,B66*D66)))</f>
        <v/>
      </c>
      <c r="G66" s="36" t="s">
        <v>42</v>
      </c>
      <c r="H66" s="2" t="str">
        <f>IF(J$6&gt;21,IF(F66&lt;0,"(Offset Left)","(Offset Right)"),"(Offset)")</f>
        <v>(Offset)</v>
      </c>
      <c r="I66" s="26"/>
      <c r="J66" s="11" t="str">
        <f>IF(B66="","",IF(AND(ABS(B66*D66)&gt;(B66-1),AK$8=""),CONCATENATE(TEXT(B66-1,"0.0")," FT. max"),IF(ABS(B66*D66)&lt;1,"1 FT. min","")))</f>
        <v/>
      </c>
      <c r="L66" s="54"/>
      <c r="AF66" s="61"/>
      <c r="AG66" s="61"/>
      <c r="AH66" s="61"/>
    </row>
    <row r="67" spans="1:34" s="2" customFormat="1" ht="18.75" thickTop="1">
      <c r="B67" s="51"/>
      <c r="C67" s="3"/>
      <c r="D67" s="17"/>
      <c r="E67" s="6"/>
      <c r="F67" s="52"/>
      <c r="G67" s="36"/>
      <c r="H67" s="29"/>
      <c r="I67" s="26"/>
      <c r="J67" s="26"/>
      <c r="L67" s="54"/>
      <c r="AF67" s="61"/>
      <c r="AG67" s="61"/>
      <c r="AH67" s="61"/>
    </row>
    <row r="68" spans="1:34" s="2" customFormat="1" ht="18">
      <c r="A68" s="11"/>
      <c r="B68" s="3"/>
      <c r="D68" s="3"/>
      <c r="E68" s="6"/>
      <c r="F68" s="3"/>
      <c r="G68" s="3"/>
      <c r="I68" s="3"/>
      <c r="J68" s="3"/>
      <c r="K68" s="4"/>
      <c r="L68" s="54"/>
      <c r="AF68" s="62"/>
      <c r="AG68" s="62"/>
      <c r="AH68" s="61"/>
    </row>
    <row r="69" spans="1:34" s="2" customFormat="1" ht="18.75" thickBot="1">
      <c r="A69" s="25" t="str">
        <f>IF(F$18&lt;M69,"",CONCATENATE("CORE # ",TEXT(M69,"0"),":"))</f>
        <v/>
      </c>
      <c r="B69" s="13" t="str">
        <f>IF(OR($F$11="",M69&gt;F$18),"",VLOOKUP(M69,T$3:U$34,2,FALSE))</f>
        <v/>
      </c>
      <c r="C69" s="3" t="s">
        <v>10</v>
      </c>
      <c r="D69" s="13" t="str">
        <f ca="1">IF(B69="","",RAND())</f>
        <v/>
      </c>
      <c r="E69" s="6" t="s">
        <v>7</v>
      </c>
      <c r="F69" s="13" t="str">
        <f>IF(B69="","",B69*D69)</f>
        <v/>
      </c>
      <c r="G69" s="3" t="str">
        <f>IF($A$1="Mile Post","+","+  STA.")</f>
        <v>+  STA.</v>
      </c>
      <c r="H69" s="37" t="str">
        <f>IF(OR($F$11="",M69&gt;F$18),"",IF($A$1="Mile Post",VLOOKUP(M69,T$3:W$34,3,FALSE)+(M69-VLOOKUP(M69,T$3:X$34,5,FALSE))*B69,VLOOKUP(M69,T$3:W$34,3,FALSE)+(M69-VLOOKUP(M69,T$3:X$34,5,FALSE))*B69/100))</f>
        <v/>
      </c>
      <c r="I69" s="38" t="s">
        <v>7</v>
      </c>
      <c r="J69" s="113" t="str">
        <f>IF($A$1="Mile Post", "MILE POST", "STATION")</f>
        <v>STATION</v>
      </c>
      <c r="K69" s="114"/>
      <c r="L69" s="28" t="str">
        <f>IF(F69="","",IF($A$1="Mile Post",H69+F69,H69+(F69/100)))</f>
        <v/>
      </c>
      <c r="M69" s="2">
        <f>1+M64</f>
        <v>10</v>
      </c>
      <c r="N69" s="2">
        <f ca="1">IF(OR(AG69="",L$18=0),0,1)</f>
        <v>0</v>
      </c>
      <c r="AE69" s="2" t="str">
        <f ca="1">IF(A69="","",OFFSET(Y$2,MATCH(M69,T$3:T$34,0),0))</f>
        <v/>
      </c>
      <c r="AF69" s="61"/>
      <c r="AG69" s="61" t="str">
        <f ca="1">IF(OFFSET(AC$2,M69,0)&gt;0,CONCATENATE("Joint Core # ",TEXT(OFFSET(AC$2,M69,0),"0")),"")</f>
        <v/>
      </c>
      <c r="AH69" s="61"/>
    </row>
    <row r="70" spans="1:34" s="2" customFormat="1" ht="9" customHeight="1" thickTop="1">
      <c r="B70" s="12"/>
      <c r="C70" s="3"/>
      <c r="D70" s="17"/>
      <c r="E70" s="6"/>
      <c r="F70" s="15"/>
      <c r="G70" s="3"/>
      <c r="K70" s="14"/>
      <c r="L70" s="54"/>
      <c r="AF70" s="61"/>
      <c r="AG70" s="61"/>
      <c r="AH70" s="61"/>
    </row>
    <row r="71" spans="1:34" s="2" customFormat="1" ht="18.75" thickBot="1">
      <c r="B71" s="7" t="str">
        <f>IF(B69="","",B66)</f>
        <v/>
      </c>
      <c r="C71" s="3" t="s">
        <v>10</v>
      </c>
      <c r="D71" s="13" t="str">
        <f ca="1">IF(B71="","",RAND()*IF(J$6&lt;22,1,IF(RANDBETWEEN(0,1)=0,-1,1)))</f>
        <v/>
      </c>
      <c r="E71" s="6" t="s">
        <v>7</v>
      </c>
      <c r="F71" s="30" t="str">
        <f>IF(B71="","",IF(AND(ABS(B71*D71)&gt;(B71-1),AK$8=""),B71-1,IF(ABS(B71*D71)&lt;1,1,B71*D71)))</f>
        <v/>
      </c>
      <c r="G71" s="36" t="s">
        <v>42</v>
      </c>
      <c r="H71" s="2" t="str">
        <f>IF(J$6&gt;21,IF(F71&lt;0,"(Offset Left)","(Offset Right)"),"(Offset)")</f>
        <v>(Offset)</v>
      </c>
      <c r="I71" s="26"/>
      <c r="J71" s="11" t="str">
        <f>IF(B71="","",IF(AND(ABS(B71*D71)&gt;(B71-1),AK$8=""),CONCATENATE(TEXT(B71-1,"0.0")," FT. max"),IF(ABS(B71*D71)&lt;1,"1 FT. min","")))</f>
        <v/>
      </c>
      <c r="L71" s="54"/>
      <c r="AF71" s="61"/>
      <c r="AG71" s="61"/>
      <c r="AH71" s="61"/>
    </row>
    <row r="72" spans="1:34" s="2" customFormat="1" ht="18.75" thickTop="1">
      <c r="B72" s="51"/>
      <c r="C72" s="3"/>
      <c r="D72" s="17"/>
      <c r="E72" s="6"/>
      <c r="F72" s="52"/>
      <c r="G72" s="36"/>
      <c r="H72" s="29"/>
      <c r="I72" s="26"/>
      <c r="J72" s="26"/>
      <c r="L72" s="54"/>
      <c r="AF72" s="61"/>
      <c r="AG72" s="61"/>
      <c r="AH72" s="61"/>
    </row>
    <row r="73" spans="1:34" s="2" customFormat="1" ht="18">
      <c r="A73" s="11"/>
      <c r="B73" s="3"/>
      <c r="D73" s="3"/>
      <c r="E73" s="6"/>
      <c r="F73" s="3"/>
      <c r="G73" s="3"/>
      <c r="I73" s="3"/>
      <c r="J73" s="3"/>
      <c r="K73" s="4"/>
      <c r="L73" s="54"/>
      <c r="AF73" s="62"/>
      <c r="AG73" s="62"/>
      <c r="AH73" s="61"/>
    </row>
    <row r="74" spans="1:34" s="2" customFormat="1" ht="18.75" thickBot="1">
      <c r="A74" s="25" t="str">
        <f>IF(F$18&lt;M74,"",CONCATENATE("CORE # ",TEXT(M74,"0"),":"))</f>
        <v/>
      </c>
      <c r="B74" s="13" t="str">
        <f>IF(OR($F$11="",M74&gt;F$18),"",VLOOKUP(M74,T$3:U$34,2,FALSE))</f>
        <v/>
      </c>
      <c r="C74" s="3" t="s">
        <v>10</v>
      </c>
      <c r="D74" s="13" t="str">
        <f ca="1">IF(B74="","",RAND())</f>
        <v/>
      </c>
      <c r="E74" s="6" t="s">
        <v>7</v>
      </c>
      <c r="F74" s="13" t="str">
        <f>IF(B74="","",B74*D74)</f>
        <v/>
      </c>
      <c r="G74" s="3" t="str">
        <f>IF($A$1="Mile Post","+","+  STA.")</f>
        <v>+  STA.</v>
      </c>
      <c r="H74" s="37" t="str">
        <f>IF(OR($F$11="",M74&gt;F$18),"",IF($A$1="Mile Post",VLOOKUP(M74,T$3:W$34,3,FALSE)+(M74-VLOOKUP(M74,T$3:X$34,5,FALSE))*B74,VLOOKUP(M74,T$3:W$34,3,FALSE)+(M74-VLOOKUP(M74,T$3:X$34,5,FALSE))*B74/100))</f>
        <v/>
      </c>
      <c r="I74" s="38" t="s">
        <v>7</v>
      </c>
      <c r="J74" s="113" t="str">
        <f>IF($A$1="Mile Post", "MILE POST", "STATION")</f>
        <v>STATION</v>
      </c>
      <c r="K74" s="114"/>
      <c r="L74" s="28" t="str">
        <f>IF(F74="","",IF($A$1="Mile Post",H74+F74,H74+(F74/100)))</f>
        <v/>
      </c>
      <c r="M74" s="2">
        <f>1+M69</f>
        <v>11</v>
      </c>
      <c r="N74" s="2">
        <f ca="1">IF(OR(AG74="",L$18=0),0,1)</f>
        <v>0</v>
      </c>
      <c r="AE74" s="2" t="str">
        <f ca="1">IF(A74="","",OFFSET(Y$2,MATCH(M74,T$3:T$34,0),0))</f>
        <v/>
      </c>
      <c r="AF74" s="61"/>
      <c r="AG74" s="61" t="str">
        <f ca="1">IF(OFFSET(AC$2,M74,0)&gt;0,CONCATENATE("Joint Core # ",TEXT(OFFSET(AC$2,M74,0),"0")),"")</f>
        <v/>
      </c>
      <c r="AH74" s="61"/>
    </row>
    <row r="75" spans="1:34" s="2" customFormat="1" ht="9" customHeight="1" thickTop="1">
      <c r="B75" s="12"/>
      <c r="C75" s="3"/>
      <c r="D75" s="17"/>
      <c r="E75" s="6"/>
      <c r="F75" s="15"/>
      <c r="G75" s="3"/>
      <c r="K75" s="14"/>
      <c r="L75" s="54"/>
      <c r="AF75" s="61"/>
      <c r="AG75" s="61"/>
      <c r="AH75" s="61"/>
    </row>
    <row r="76" spans="1:34" s="2" customFormat="1" ht="18.75" thickBot="1">
      <c r="B76" s="7" t="str">
        <f>IF(B74="","",B71)</f>
        <v/>
      </c>
      <c r="C76" s="3" t="s">
        <v>10</v>
      </c>
      <c r="D76" s="13" t="str">
        <f ca="1">IF(B76="","",RAND()*IF(J$6&lt;22,1,IF(RANDBETWEEN(0,1)=0,-1,1)))</f>
        <v/>
      </c>
      <c r="E76" s="6" t="s">
        <v>7</v>
      </c>
      <c r="F76" s="30" t="str">
        <f>IF(B76="","",IF(AND(ABS(B76*D76)&gt;(B76-1),AK$8=""),B76-1,IF(ABS(B76*D76)&lt;1,1,B76*D76)))</f>
        <v/>
      </c>
      <c r="G76" s="36" t="s">
        <v>42</v>
      </c>
      <c r="H76" s="2" t="str">
        <f>IF(J$6&gt;21,IF(F76&lt;0,"(Offset Left)","(Offset Right)"),"(Offset)")</f>
        <v>(Offset)</v>
      </c>
      <c r="I76" s="26"/>
      <c r="J76" s="11" t="str">
        <f>IF(B76="","",IF(AND(ABS(B76*D76)&gt;(B76-1),AK$8=""),CONCATENATE(TEXT(B76-1,"0.0")," FT. max"),IF(ABS(B76*D76)&lt;1,"1 FT. min","")))</f>
        <v/>
      </c>
      <c r="L76" s="54"/>
      <c r="AF76" s="61"/>
      <c r="AG76" s="61"/>
      <c r="AH76" s="61"/>
    </row>
    <row r="77" spans="1:34" s="2" customFormat="1" ht="18.75" thickTop="1">
      <c r="B77" s="51"/>
      <c r="C77" s="3"/>
      <c r="D77" s="17"/>
      <c r="E77" s="6"/>
      <c r="F77" s="52"/>
      <c r="G77" s="36"/>
      <c r="H77" s="29"/>
      <c r="I77" s="26"/>
      <c r="J77" s="26"/>
      <c r="L77" s="54"/>
      <c r="AF77" s="61"/>
      <c r="AG77" s="61"/>
      <c r="AH77" s="61"/>
    </row>
    <row r="78" spans="1:34" s="2" customFormat="1" ht="18">
      <c r="A78" s="11"/>
      <c r="B78" s="3"/>
      <c r="D78" s="3"/>
      <c r="E78" s="6"/>
      <c r="F78" s="3"/>
      <c r="G78" s="3"/>
      <c r="I78" s="3"/>
      <c r="J78" s="3"/>
      <c r="K78" s="4"/>
      <c r="L78" s="54"/>
      <c r="AF78" s="62"/>
      <c r="AG78" s="62"/>
      <c r="AH78" s="61"/>
    </row>
    <row r="79" spans="1:34" s="2" customFormat="1" ht="18.75" thickBot="1">
      <c r="A79" s="25" t="str">
        <f>IF(F$18&lt;M79,"",CONCATENATE("CORE # ",TEXT(M79,"0"),":"))</f>
        <v/>
      </c>
      <c r="B79" s="13" t="str">
        <f>IF(OR($F$11="",M79&gt;F$18),"",VLOOKUP(M79,T$3:U$34,2,FALSE))</f>
        <v/>
      </c>
      <c r="C79" s="3" t="s">
        <v>10</v>
      </c>
      <c r="D79" s="13" t="str">
        <f ca="1">IF(B79="","",RAND())</f>
        <v/>
      </c>
      <c r="E79" s="6" t="s">
        <v>7</v>
      </c>
      <c r="F79" s="13" t="str">
        <f>IF(B79="","",B79*D79)</f>
        <v/>
      </c>
      <c r="G79" s="3" t="str">
        <f>IF($A$1="Mile Post","+","+  STA.")</f>
        <v>+  STA.</v>
      </c>
      <c r="H79" s="37" t="str">
        <f>IF(OR($F$11="",M79&gt;F$18),"",IF($A$1="Mile Post",VLOOKUP(M79,T$3:W$34,3,FALSE)+(M79-VLOOKUP(M79,T$3:X$34,5,FALSE))*B79,VLOOKUP(M79,T$3:W$34,3,FALSE)+(M79-VLOOKUP(M79,T$3:X$34,5,FALSE))*B79/100))</f>
        <v/>
      </c>
      <c r="I79" s="38" t="s">
        <v>7</v>
      </c>
      <c r="J79" s="113" t="str">
        <f>IF($A$1="Mile Post", "MILE POST", "STATION")</f>
        <v>STATION</v>
      </c>
      <c r="K79" s="114"/>
      <c r="L79" s="28" t="str">
        <f>IF(F79="","",IF($A$1="Mile Post",H79+F79,H79+(F79/100)))</f>
        <v/>
      </c>
      <c r="M79" s="2">
        <f>1+M74</f>
        <v>12</v>
      </c>
      <c r="N79" s="2">
        <f ca="1">IF(OR(AG79="",L$18=0),0,1)</f>
        <v>0</v>
      </c>
      <c r="AE79" s="2" t="str">
        <f ca="1">IF(A79="","",OFFSET(Y$2,MATCH(M79,T$3:T$34,0),0))</f>
        <v/>
      </c>
      <c r="AF79" s="61"/>
      <c r="AG79" s="61" t="str">
        <f ca="1">IF(OFFSET(AC$2,M79,0)&gt;0,CONCATENATE("Joint Core # ",TEXT(OFFSET(AC$2,M79,0),"0")),"")</f>
        <v/>
      </c>
      <c r="AH79" s="61"/>
    </row>
    <row r="80" spans="1:34" s="2" customFormat="1" ht="9" customHeight="1" thickTop="1">
      <c r="B80" s="12"/>
      <c r="C80" s="3"/>
      <c r="D80" s="17"/>
      <c r="E80" s="6"/>
      <c r="F80" s="15"/>
      <c r="G80" s="3"/>
      <c r="K80" s="14"/>
      <c r="L80" s="54"/>
      <c r="AF80" s="61"/>
      <c r="AG80" s="61"/>
      <c r="AH80" s="61"/>
    </row>
    <row r="81" spans="1:34" s="2" customFormat="1" ht="18.75" thickBot="1">
      <c r="B81" s="7" t="str">
        <f>IF(B79="","",B76)</f>
        <v/>
      </c>
      <c r="C81" s="3" t="s">
        <v>10</v>
      </c>
      <c r="D81" s="13" t="str">
        <f ca="1">IF(B81="","",RAND()*IF(J$6&lt;22,1,IF(RANDBETWEEN(0,1)=0,-1,1)))</f>
        <v/>
      </c>
      <c r="E81" s="6" t="s">
        <v>7</v>
      </c>
      <c r="F81" s="30" t="str">
        <f>IF(B81="","",IF(AND(ABS(B81*D81)&gt;(B81-1),AK$8=""),B81-1,IF(ABS(B81*D81)&lt;1,1,B81*D81)))</f>
        <v/>
      </c>
      <c r="G81" s="36" t="s">
        <v>42</v>
      </c>
      <c r="H81" s="2" t="str">
        <f>IF(J$6&gt;21,IF(F81&lt;0,"(Offset Left)","(Offset Right)"),"(Offset)")</f>
        <v>(Offset)</v>
      </c>
      <c r="I81" s="26"/>
      <c r="J81" s="11" t="str">
        <f>IF(B81="","",IF(AND(ABS(B81*D81)&gt;(B81-1),AK$8=""),CONCATENATE(TEXT(B81-1,"0.0")," FT. max"),IF(ABS(B81*D81)&lt;1,"1 FT. min","")))</f>
        <v/>
      </c>
      <c r="L81" s="54"/>
      <c r="AF81" s="61"/>
      <c r="AG81" s="61"/>
      <c r="AH81" s="61"/>
    </row>
    <row r="82" spans="1:34" s="2" customFormat="1" ht="15.75" customHeight="1" thickTop="1">
      <c r="G82" s="3"/>
      <c r="L82" s="54"/>
      <c r="AF82" s="61"/>
      <c r="AG82" s="61"/>
      <c r="AH82" s="61"/>
    </row>
    <row r="83" spans="1:34" s="2" customFormat="1" ht="3" customHeight="1">
      <c r="A83" s="20"/>
      <c r="B83" s="20"/>
      <c r="C83" s="20"/>
      <c r="D83" s="20"/>
      <c r="E83" s="20"/>
      <c r="F83" s="20"/>
      <c r="G83" s="21"/>
      <c r="H83" s="20"/>
      <c r="I83" s="20"/>
      <c r="J83" s="20"/>
      <c r="K83" s="20"/>
      <c r="L83" s="56"/>
      <c r="AF83" s="61"/>
      <c r="AG83" s="61"/>
      <c r="AH83" s="61"/>
    </row>
    <row r="84" spans="1:34" s="2" customFormat="1" ht="18">
      <c r="G84" s="3"/>
      <c r="L84" s="54"/>
      <c r="AF84" s="61"/>
      <c r="AG84" s="61"/>
      <c r="AH84" s="61"/>
    </row>
    <row r="85" spans="1:34" s="2" customFormat="1" ht="18">
      <c r="C85" s="19" t="s">
        <v>26</v>
      </c>
      <c r="D85" s="3"/>
      <c r="E85" s="3"/>
      <c r="G85" s="3"/>
      <c r="K85" s="19" t="s">
        <v>29</v>
      </c>
      <c r="L85" s="54"/>
      <c r="AF85" s="61"/>
      <c r="AG85" s="61"/>
      <c r="AH85" s="61"/>
    </row>
    <row r="86" spans="1:34" s="2" customFormat="1" ht="11.25" customHeight="1">
      <c r="E86" s="4"/>
      <c r="G86" s="3"/>
      <c r="L86" s="54"/>
      <c r="AF86" s="61"/>
      <c r="AG86" s="61"/>
      <c r="AH86" s="61"/>
    </row>
    <row r="87" spans="1:34" s="2" customFormat="1" ht="18">
      <c r="A87" s="4" t="s">
        <v>11</v>
      </c>
      <c r="B87" s="35" t="s">
        <v>17</v>
      </c>
      <c r="C87" s="22" t="s">
        <v>17</v>
      </c>
      <c r="D87" s="3" t="s">
        <v>12</v>
      </c>
      <c r="E87" s="35" t="s">
        <v>17</v>
      </c>
      <c r="G87" s="115" t="s">
        <v>30</v>
      </c>
      <c r="H87" s="115"/>
      <c r="I87" s="115"/>
      <c r="J87" s="4"/>
      <c r="K87" s="111"/>
      <c r="L87" s="111"/>
      <c r="AF87" s="61"/>
      <c r="AG87" s="61"/>
      <c r="AH87" s="61"/>
    </row>
    <row r="88" spans="1:34" s="2" customFormat="1" ht="9" customHeight="1">
      <c r="B88" s="3"/>
      <c r="E88" s="3" t="s">
        <v>17</v>
      </c>
      <c r="G88" s="3"/>
      <c r="L88" s="54"/>
      <c r="AF88" s="61"/>
      <c r="AG88" s="61"/>
      <c r="AH88" s="61"/>
    </row>
    <row r="89" spans="1:34" s="2" customFormat="1" ht="18">
      <c r="A89" s="4" t="s">
        <v>13</v>
      </c>
      <c r="B89" s="35" t="s">
        <v>17</v>
      </c>
      <c r="D89" s="3" t="s">
        <v>14</v>
      </c>
      <c r="E89" s="35" t="s">
        <v>17</v>
      </c>
      <c r="G89" s="110" t="s">
        <v>21</v>
      </c>
      <c r="H89" s="110"/>
      <c r="I89" s="110"/>
      <c r="J89" s="40"/>
      <c r="K89" s="111"/>
      <c r="L89" s="111"/>
      <c r="AF89" s="61"/>
      <c r="AG89" s="61"/>
      <c r="AH89" s="61"/>
    </row>
    <row r="90" spans="1:34" s="2" customFormat="1" ht="9" customHeight="1">
      <c r="B90" s="3"/>
      <c r="E90" s="3" t="s">
        <v>17</v>
      </c>
      <c r="G90" s="3"/>
      <c r="L90" s="54"/>
      <c r="AF90" s="61"/>
      <c r="AG90" s="61"/>
      <c r="AH90" s="61"/>
    </row>
    <row r="91" spans="1:34" s="2" customFormat="1" ht="18.75" thickBot="1">
      <c r="A91" s="4" t="s">
        <v>15</v>
      </c>
      <c r="B91" s="35" t="s">
        <v>17</v>
      </c>
      <c r="D91" s="3" t="s">
        <v>16</v>
      </c>
      <c r="E91" s="35" t="s">
        <v>17</v>
      </c>
      <c r="G91" s="110" t="s">
        <v>22</v>
      </c>
      <c r="H91" s="110"/>
      <c r="I91" s="110"/>
      <c r="J91" s="40"/>
      <c r="K91" s="112" t="str">
        <f>IF(K87="","",K87-K89)</f>
        <v/>
      </c>
      <c r="L91" s="112"/>
      <c r="AF91" s="61"/>
      <c r="AG91" s="61"/>
      <c r="AH91" s="61"/>
    </row>
    <row r="92" spans="1:34" s="2" customFormat="1" ht="8.25" customHeight="1" thickTop="1">
      <c r="G92" s="3"/>
      <c r="L92" s="54"/>
      <c r="AF92" s="61"/>
      <c r="AG92" s="61"/>
      <c r="AH92" s="61"/>
    </row>
    <row r="93" spans="1:34" ht="18">
      <c r="A93" s="23"/>
      <c r="B93" s="23"/>
      <c r="C93" s="23"/>
      <c r="D93" s="23"/>
      <c r="E93" s="23"/>
      <c r="F93" s="23"/>
      <c r="G93" s="110" t="s">
        <v>31</v>
      </c>
      <c r="H93" s="110"/>
      <c r="I93" s="110"/>
      <c r="J93" s="40"/>
      <c r="K93" s="111"/>
      <c r="L93" s="111"/>
      <c r="M93" s="23"/>
    </row>
    <row r="94" spans="1:34" ht="9" customHeight="1">
      <c r="A94" s="23"/>
      <c r="B94" s="23"/>
      <c r="C94" s="23"/>
      <c r="D94" s="23"/>
      <c r="E94" s="23"/>
      <c r="F94" s="23"/>
      <c r="G94" s="24"/>
      <c r="H94" s="2"/>
      <c r="I94" s="2"/>
      <c r="J94" s="2"/>
      <c r="K94" s="2"/>
      <c r="L94" s="54"/>
      <c r="M94" s="23"/>
    </row>
    <row r="95" spans="1:34" ht="18.75" thickBot="1">
      <c r="A95" s="23"/>
      <c r="B95" s="23"/>
      <c r="C95" s="23"/>
      <c r="D95" s="23"/>
      <c r="E95" s="23"/>
      <c r="F95" s="110" t="s">
        <v>32</v>
      </c>
      <c r="G95" s="110"/>
      <c r="H95" s="110"/>
      <c r="I95" s="110"/>
      <c r="J95" s="40"/>
      <c r="K95" s="112" t="str">
        <f>IF(K91="","",K91+K93)</f>
        <v/>
      </c>
      <c r="L95" s="112"/>
      <c r="M95" s="23"/>
    </row>
    <row r="96" spans="1:34" ht="15.75" thickTop="1"/>
  </sheetData>
  <sheetProtection algorithmName="SHA-512" hashValue="0HHBi1HoSUZA87fdGN7Hnc68JOIrU7t+NFagyUo9ZRJeLksvhGcZRyUDot/Kim2efp6pDXOLLyldwq/SK+gmoQ==" saltValue="fyVWKzLdaquyxZt3uOdVMw==" spinCount="100000" sheet="1" objects="1" scenarios="1"/>
  <mergeCells count="36">
    <mergeCell ref="AI12:AL12"/>
    <mergeCell ref="A9:F9"/>
    <mergeCell ref="G9:L9"/>
    <mergeCell ref="A18:C20"/>
    <mergeCell ref="G18:I20"/>
    <mergeCell ref="C11:C17"/>
    <mergeCell ref="AF21:AG21"/>
    <mergeCell ref="A3:K3"/>
    <mergeCell ref="B4:E4"/>
    <mergeCell ref="B6:E6"/>
    <mergeCell ref="B8:C8"/>
    <mergeCell ref="J49:K49"/>
    <mergeCell ref="J48:K48"/>
    <mergeCell ref="D21:F21"/>
    <mergeCell ref="J24:K24"/>
    <mergeCell ref="J29:K29"/>
    <mergeCell ref="J34:K34"/>
    <mergeCell ref="J39:K39"/>
    <mergeCell ref="J44:K44"/>
    <mergeCell ref="G22:L22"/>
    <mergeCell ref="J54:K54"/>
    <mergeCell ref="G87:I87"/>
    <mergeCell ref="K87:L87"/>
    <mergeCell ref="G89:I89"/>
    <mergeCell ref="K89:L89"/>
    <mergeCell ref="G93:I93"/>
    <mergeCell ref="K93:L93"/>
    <mergeCell ref="F95:I95"/>
    <mergeCell ref="K95:L95"/>
    <mergeCell ref="J59:K59"/>
    <mergeCell ref="J64:K64"/>
    <mergeCell ref="J69:K69"/>
    <mergeCell ref="J74:K74"/>
    <mergeCell ref="J79:K79"/>
    <mergeCell ref="G91:I91"/>
    <mergeCell ref="K91:L91"/>
  </mergeCells>
  <conditionalFormatting sqref="F11 F13 F15 F17">
    <cfRule type="expression" dxfId="9" priority="18">
      <formula>($F$18&lt;8)</formula>
    </cfRule>
  </conditionalFormatting>
  <conditionalFormatting sqref="F18">
    <cfRule type="expression" dxfId="8" priority="16">
      <formula>$F$18&lt;8</formula>
    </cfRule>
  </conditionalFormatting>
  <conditionalFormatting sqref="G9:L20 AE20 G22 AG24:AG82">
    <cfRule type="expression" dxfId="7" priority="1">
      <formula>$B$6&lt;&gt;$AN$1</formula>
    </cfRule>
  </conditionalFormatting>
  <conditionalFormatting sqref="I11:J11 I13:J13 I15:J15 I17:J17">
    <cfRule type="expression" dxfId="6" priority="2">
      <formula>$G11=0</formula>
    </cfRule>
    <cfRule type="expression" dxfId="5" priority="20">
      <formula>AND($G$11=1,I11="")</formula>
    </cfRule>
  </conditionalFormatting>
  <conditionalFormatting sqref="J6">
    <cfRule type="expression" dxfId="4" priority="11">
      <formula>$J$6=""</formula>
    </cfRule>
  </conditionalFormatting>
  <conditionalFormatting sqref="AF63:AG63 AF64 B64:L66">
    <cfRule type="expression" dxfId="3" priority="15">
      <formula>($A$64="")</formula>
    </cfRule>
  </conditionalFormatting>
  <conditionalFormatting sqref="AF68:AG68 AF69 B69:L71">
    <cfRule type="expression" dxfId="2" priority="14">
      <formula>($A$69="")</formula>
    </cfRule>
  </conditionalFormatting>
  <conditionalFormatting sqref="AF73:AG73 AF74 B74:L76">
    <cfRule type="expression" dxfId="1" priority="13">
      <formula>($A$74="")</formula>
    </cfRule>
  </conditionalFormatting>
  <conditionalFormatting sqref="AF78:AG78 AF79 B79:L81">
    <cfRule type="expression" dxfId="0" priority="12">
      <formula>($A$79="")</formula>
    </cfRule>
  </conditionalFormatting>
  <dataValidations count="14">
    <dataValidation type="decimal" operator="greaterThanOrEqual" allowBlank="1" showInputMessage="1" showErrorMessage="1" error="Enter a number greater than zero. No &quot;+&quot; for stations." sqref="A17:B17 A13:B13 A11:C11 A15:B15" xr:uid="{00000000-0002-0000-0100-000000000000}">
      <formula1>0</formula1>
    </dataValidation>
    <dataValidation type="decimal" operator="greaterThanOrEqual" allowBlank="1" showInputMessage="1" showErrorMessage="1" sqref="J6 F13 F15 F17 F11" xr:uid="{00000000-0002-0000-0100-000001000000}">
      <formula1>0</formula1>
    </dataValidation>
    <dataValidation type="list" allowBlank="1" showInputMessage="1" showErrorMessage="1" sqref="H11" xr:uid="{00000000-0002-0000-0100-000002000000}">
      <formula1>$AQ$1:$AQ$3</formula1>
    </dataValidation>
    <dataValidation type="list" allowBlank="1" showInputMessage="1" showErrorMessage="1" sqref="H13" xr:uid="{00000000-0002-0000-0100-000003000000}">
      <formula1>$AR$1:$AR$3</formula1>
    </dataValidation>
    <dataValidation type="list" allowBlank="1" showInputMessage="1" showErrorMessage="1" sqref="H15" xr:uid="{00000000-0002-0000-0100-000004000000}">
      <formula1>$AS$1:$AS$3</formula1>
    </dataValidation>
    <dataValidation type="list" allowBlank="1" showInputMessage="1" showErrorMessage="1" sqref="H17" xr:uid="{00000000-0002-0000-0100-000005000000}">
      <formula1>$AT$1:$AT$3</formula1>
    </dataValidation>
    <dataValidation type="decimal" allowBlank="1" showInputMessage="1" showErrorMessage="1" prompt="Must be between the mat stations for this segment" sqref="I17" xr:uid="{00000000-0002-0000-0100-000006000000}">
      <formula1>MIN(A$17:B$17)</formula1>
      <formula2>MAX(A$17:B$17)</formula2>
    </dataValidation>
    <dataValidation type="decimal" allowBlank="1" showInputMessage="1" showErrorMessage="1" prompt="Must be between the mat stations for this segment" sqref="I15:J15" xr:uid="{00000000-0002-0000-0100-000007000000}">
      <formula1>MIN(A$15:$B$15)</formula1>
      <formula2>MAX(A$15:B$15)</formula2>
    </dataValidation>
    <dataValidation type="decimal" allowBlank="1" showInputMessage="1" showErrorMessage="1" prompt="Must be between the mat stations for this segment" sqref="I13:J13" xr:uid="{00000000-0002-0000-0100-000008000000}">
      <formula1>MIN($A13:$B13)</formula1>
      <formula2>MAX($A13:$B13)</formula2>
    </dataValidation>
    <dataValidation type="decimal" allowBlank="1" showInputMessage="1" showErrorMessage="1" prompt="Must be between the mat stations for this segment" sqref="I11" xr:uid="{00000000-0002-0000-0100-000009000000}">
      <formula1>MIN(A$11:B$11)</formula1>
      <formula2>MAX(A$11:B$11)</formula2>
    </dataValidation>
    <dataValidation type="list" allowBlank="1" showInputMessage="1" showErrorMessage="1" sqref="A1" xr:uid="{00000000-0002-0000-0100-00000A000000}">
      <formula1>$AP$1:$AP$2</formula1>
    </dataValidation>
    <dataValidation type="decimal" allowBlank="1" showInputMessage="1" showErrorMessage="1" prompt="Must be between the mat stations for this segment" sqref="J11" xr:uid="{00000000-0002-0000-0100-00000B000000}">
      <formula1>MIN($A$11:$B$11)</formula1>
      <formula2>MAX($A$11:$B$11)</formula2>
    </dataValidation>
    <dataValidation type="decimal" allowBlank="1" showInputMessage="1" showErrorMessage="1" prompt="Must be between the mat stations for this segment" sqref="J17" xr:uid="{00000000-0002-0000-0100-00000C000000}">
      <formula1>MIN($A$17:$B$17)</formula1>
      <formula2>MAX($A$17:$B$17)</formula2>
    </dataValidation>
    <dataValidation type="list" allowBlank="1" showInputMessage="1" showErrorMessage="1" sqref="B6:E6" xr:uid="{00000000-0002-0000-0100-00000D000000}">
      <formula1>$AN$1:$AN$4</formula1>
    </dataValidation>
  </dataValidations>
  <pageMargins left="1.1000000000000001" right="0.5" top="0.6" bottom="0.5" header="0" footer="0"/>
  <pageSetup scale="39"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codeName="Sheet4">
    <pageSetUpPr fitToPage="1"/>
  </sheetPr>
  <dimension ref="A1:O76"/>
  <sheetViews>
    <sheetView defaultGridColor="0" colorId="22" zoomScale="75" workbookViewId="0">
      <selection activeCell="B4" sqref="B4:E4"/>
    </sheetView>
  </sheetViews>
  <sheetFormatPr defaultColWidth="11.44140625" defaultRowHeight="15"/>
  <cols>
    <col min="1" max="1" width="14.88671875" customWidth="1"/>
    <col min="2" max="2" width="11.44140625" customWidth="1"/>
    <col min="3" max="3" width="3.109375" customWidth="1"/>
    <col min="4" max="4" width="9.109375" customWidth="1"/>
    <col min="5" max="5" width="11.44140625" customWidth="1"/>
    <col min="6" max="6" width="13.77734375" customWidth="1"/>
    <col min="7" max="7" width="7.21875" style="1" customWidth="1"/>
    <col min="8" max="8" width="13.77734375" customWidth="1"/>
    <col min="9" max="9" width="4.21875" customWidth="1"/>
    <col min="10" max="10" width="9.33203125" bestFit="1" customWidth="1"/>
    <col min="11" max="11" width="6.6640625" customWidth="1"/>
    <col min="12" max="12" width="13.77734375" customWidth="1"/>
  </cols>
  <sheetData>
    <row r="1" spans="1:15" s="2" customFormat="1" ht="18" customHeight="1">
      <c r="D1" s="138" t="s">
        <v>72</v>
      </c>
      <c r="E1" s="138"/>
      <c r="F1" s="138"/>
      <c r="G1" s="3"/>
    </row>
    <row r="2" spans="1:15" s="2" customFormat="1" ht="18">
      <c r="D2" s="122" t="s">
        <v>73</v>
      </c>
      <c r="E2" s="114"/>
      <c r="F2" s="114"/>
      <c r="G2" s="3"/>
      <c r="L2" s="36" t="s">
        <v>45</v>
      </c>
    </row>
    <row r="3" spans="1:15" s="2" customFormat="1" ht="18">
      <c r="D3" s="2" t="s">
        <v>17</v>
      </c>
      <c r="E3" s="3"/>
      <c r="G3" s="3"/>
      <c r="L3" s="36" t="s">
        <v>46</v>
      </c>
    </row>
    <row r="4" spans="1:15" s="2" customFormat="1" ht="18">
      <c r="A4" s="4" t="s">
        <v>23</v>
      </c>
      <c r="B4" s="120" t="s">
        <v>17</v>
      </c>
      <c r="C4" s="120"/>
      <c r="D4" s="120"/>
      <c r="E4" s="120"/>
      <c r="G4" s="4" t="s">
        <v>70</v>
      </c>
      <c r="H4" s="31" t="s">
        <v>17</v>
      </c>
      <c r="I4" s="2" t="s">
        <v>20</v>
      </c>
      <c r="L4" s="36" t="s">
        <v>74</v>
      </c>
    </row>
    <row r="5" spans="1:15" s="2" customFormat="1" ht="18">
      <c r="A5" s="4"/>
      <c r="F5" s="4"/>
      <c r="G5" s="6"/>
      <c r="H5" s="6"/>
      <c r="I5" s="6"/>
      <c r="J5" s="6"/>
      <c r="L5" s="36" t="s">
        <v>48</v>
      </c>
    </row>
    <row r="6" spans="1:15" s="2" customFormat="1" ht="18">
      <c r="A6" s="4"/>
      <c r="B6" s="139" t="s">
        <v>17</v>
      </c>
      <c r="C6" s="139"/>
      <c r="D6" s="139"/>
      <c r="E6" s="139"/>
      <c r="G6" s="4" t="s">
        <v>75</v>
      </c>
      <c r="H6" s="32"/>
      <c r="I6" s="11" t="s">
        <v>19</v>
      </c>
      <c r="J6" s="143" t="s">
        <v>77</v>
      </c>
      <c r="K6" s="143"/>
      <c r="L6" s="36" t="s">
        <v>49</v>
      </c>
    </row>
    <row r="7" spans="1:15" s="2" customFormat="1" ht="18">
      <c r="A7" s="4"/>
      <c r="B7" s="3"/>
      <c r="C7" s="3"/>
      <c r="L7" s="36" t="s">
        <v>50</v>
      </c>
    </row>
    <row r="8" spans="1:15" s="2" customFormat="1" ht="18">
      <c r="A8" s="4" t="s">
        <v>4</v>
      </c>
      <c r="B8" s="140" t="s">
        <v>17</v>
      </c>
      <c r="C8" s="140"/>
      <c r="G8" s="4" t="s">
        <v>71</v>
      </c>
      <c r="H8" s="33" t="s">
        <v>17</v>
      </c>
      <c r="I8" s="144"/>
      <c r="J8" s="144"/>
      <c r="K8" s="144"/>
      <c r="L8" s="36" t="s">
        <v>51</v>
      </c>
    </row>
    <row r="9" spans="1:15" s="2" customFormat="1" ht="18">
      <c r="A9" s="4"/>
      <c r="B9" s="8"/>
      <c r="C9" s="8"/>
      <c r="F9" s="4"/>
      <c r="G9" s="8"/>
      <c r="H9" s="9"/>
      <c r="I9" s="9"/>
      <c r="J9" s="46" t="s">
        <v>53</v>
      </c>
      <c r="L9" s="145" t="s">
        <v>52</v>
      </c>
      <c r="O9" s="11"/>
    </row>
    <row r="10" spans="1:15" s="2" customFormat="1" ht="18">
      <c r="A10" s="4"/>
      <c r="G10" s="3"/>
      <c r="J10" s="47" t="s">
        <v>54</v>
      </c>
      <c r="L10" s="146"/>
    </row>
    <row r="11" spans="1:15" s="2" customFormat="1" ht="18">
      <c r="A11" s="4" t="s">
        <v>6</v>
      </c>
      <c r="B11" s="137"/>
      <c r="C11" s="137"/>
      <c r="D11" s="115" t="s">
        <v>24</v>
      </c>
      <c r="E11" s="115"/>
      <c r="F11" s="34"/>
      <c r="G11" s="3" t="s">
        <v>7</v>
      </c>
      <c r="H11" s="10" t="str">
        <f>IF($H$6="","",(F11-B11)*100)</f>
        <v/>
      </c>
      <c r="I11" s="11" t="s">
        <v>8</v>
      </c>
      <c r="J11" s="34"/>
      <c r="K11" s="48" t="str">
        <f>IF($H11="","",(ABS($H11/$H$19)*10))</f>
        <v/>
      </c>
      <c r="L11" s="39"/>
      <c r="M11" s="48"/>
    </row>
    <row r="12" spans="1:15" s="2" customFormat="1" ht="15" customHeight="1">
      <c r="A12" s="4"/>
      <c r="E12" s="4"/>
      <c r="F12" s="3"/>
      <c r="G12" s="3"/>
      <c r="H12" s="3"/>
      <c r="I12" s="3"/>
      <c r="J12" s="3"/>
      <c r="K12" s="11"/>
      <c r="L12" s="3"/>
    </row>
    <row r="13" spans="1:15" s="2" customFormat="1" ht="18">
      <c r="A13" s="4" t="s">
        <v>6</v>
      </c>
      <c r="B13" s="137"/>
      <c r="C13" s="137"/>
      <c r="D13" s="115" t="s">
        <v>24</v>
      </c>
      <c r="E13" s="115"/>
      <c r="F13" s="34"/>
      <c r="G13" s="3" t="s">
        <v>7</v>
      </c>
      <c r="H13" s="10" t="str">
        <f>IF($H$6="","",(F13-B13)*100)</f>
        <v/>
      </c>
      <c r="I13" s="11" t="s">
        <v>8</v>
      </c>
      <c r="J13" s="34"/>
      <c r="K13" s="48" t="str">
        <f>IF($H13="","",(ABS($H13/$H$19)*10))</f>
        <v/>
      </c>
      <c r="L13" s="39"/>
    </row>
    <row r="14" spans="1:15" s="2" customFormat="1" ht="15" customHeight="1">
      <c r="A14" s="4"/>
      <c r="B14" s="2" t="s">
        <v>17</v>
      </c>
      <c r="E14" s="4"/>
      <c r="F14" s="3"/>
      <c r="G14" s="3"/>
      <c r="H14" s="3"/>
      <c r="I14" s="3"/>
      <c r="J14" s="3"/>
      <c r="K14" s="11"/>
      <c r="L14" s="3"/>
    </row>
    <row r="15" spans="1:15" s="2" customFormat="1" ht="3" customHeight="1">
      <c r="A15" s="4"/>
      <c r="B15" s="141"/>
      <c r="C15" s="141"/>
      <c r="D15" s="115"/>
      <c r="E15" s="115"/>
      <c r="F15" s="38"/>
      <c r="G15" s="3"/>
      <c r="H15" s="12"/>
      <c r="I15" s="11"/>
      <c r="J15" s="38"/>
      <c r="K15" s="48"/>
      <c r="L15" s="12"/>
    </row>
    <row r="16" spans="1:15" s="2" customFormat="1" ht="3" customHeight="1">
      <c r="A16" s="4"/>
      <c r="E16" s="4"/>
      <c r="F16" s="3"/>
      <c r="G16" s="3"/>
      <c r="H16" s="3"/>
      <c r="I16" s="3"/>
      <c r="J16" s="3"/>
      <c r="K16" s="11"/>
      <c r="L16" s="3"/>
    </row>
    <row r="17" spans="1:14" s="2" customFormat="1" ht="3" customHeight="1">
      <c r="A17" s="4"/>
      <c r="B17" s="141"/>
      <c r="C17" s="141"/>
      <c r="D17" s="115"/>
      <c r="E17" s="115"/>
      <c r="F17" s="38"/>
      <c r="G17" s="3"/>
      <c r="H17" s="12"/>
      <c r="I17" s="11"/>
      <c r="J17" s="38"/>
      <c r="K17" s="48"/>
      <c r="L17" s="12"/>
    </row>
    <row r="18" spans="1:14" s="2" customFormat="1" ht="15" customHeight="1">
      <c r="G18" s="3"/>
      <c r="H18" s="3"/>
      <c r="I18" s="3"/>
      <c r="J18" s="3"/>
      <c r="K18" s="11"/>
    </row>
    <row r="19" spans="1:14" s="2" customFormat="1" ht="18">
      <c r="F19" s="4" t="s">
        <v>9</v>
      </c>
      <c r="G19" s="3" t="s">
        <v>7</v>
      </c>
      <c r="H19" s="5" t="str">
        <f>IF(H11="","",SUM(ABS(H11),ABS(H13)))</f>
        <v/>
      </c>
      <c r="I19" s="116" t="s">
        <v>27</v>
      </c>
      <c r="J19" s="116"/>
      <c r="K19" s="116"/>
      <c r="L19" s="116"/>
      <c r="N19" s="3"/>
    </row>
    <row r="20" spans="1:14" s="2" customFormat="1" ht="18">
      <c r="G20" s="3"/>
      <c r="H20" s="3"/>
      <c r="I20" s="3"/>
      <c r="J20" s="3"/>
      <c r="K20" s="11"/>
    </row>
    <row r="21" spans="1:14" s="2" customFormat="1" ht="18">
      <c r="B21" s="142" t="str">
        <f>IF(H19="","",SUM(H19))</f>
        <v/>
      </c>
      <c r="C21" s="142">
        <f>SUM(C13,C15,C17,C19)</f>
        <v>0</v>
      </c>
      <c r="D21" s="116" t="s">
        <v>69</v>
      </c>
      <c r="E21" s="116"/>
      <c r="F21" s="116"/>
      <c r="G21" s="3" t="s">
        <v>7</v>
      </c>
      <c r="H21" s="10" t="str">
        <f>IF(H19="","",H19/10)</f>
        <v/>
      </c>
      <c r="I21" s="116" t="s">
        <v>28</v>
      </c>
      <c r="J21" s="116"/>
      <c r="K21" s="116"/>
      <c r="L21" s="116"/>
    </row>
    <row r="22" spans="1:14" s="2" customFormat="1" ht="18">
      <c r="A22" s="18"/>
      <c r="B22" s="18"/>
      <c r="C22" s="18"/>
      <c r="D22" s="18"/>
      <c r="E22" s="18"/>
      <c r="F22" s="18"/>
      <c r="G22" s="5"/>
      <c r="H22" s="18"/>
      <c r="I22" s="18"/>
      <c r="J22" s="18"/>
      <c r="K22" s="18"/>
      <c r="L22" s="18"/>
    </row>
    <row r="23" spans="1:14" s="2" customFormat="1" ht="18">
      <c r="G23" s="3"/>
    </row>
    <row r="24" spans="1:14" s="2" customFormat="1" ht="18.75" thickBot="1">
      <c r="A24" s="25" t="s">
        <v>68</v>
      </c>
      <c r="B24" s="10" t="str">
        <f>IF($L$11="","",IF(L11&gt;=1,H11/L11,""))</f>
        <v/>
      </c>
      <c r="C24" s="3" t="s">
        <v>10</v>
      </c>
      <c r="D24" s="13" t="str">
        <f ca="1">IF(B24="","",RAND())</f>
        <v/>
      </c>
      <c r="E24" s="6" t="s">
        <v>7</v>
      </c>
      <c r="F24" s="10" t="str">
        <f>IF(B24="","",B24*D24)</f>
        <v/>
      </c>
      <c r="G24" s="6" t="s">
        <v>25</v>
      </c>
      <c r="H24" s="37" t="str">
        <f>IF(L11="","",IF(L11&gt;=1,B11,""))</f>
        <v/>
      </c>
      <c r="I24" s="38" t="s">
        <v>7</v>
      </c>
      <c r="J24" s="136" t="s">
        <v>6</v>
      </c>
      <c r="K24" s="114"/>
      <c r="L24" s="28" t="str">
        <f>IF(F24="","",H24+(F24/100))</f>
        <v/>
      </c>
    </row>
    <row r="25" spans="1:14" s="2" customFormat="1" ht="12" customHeight="1" thickTop="1">
      <c r="B25" s="15"/>
      <c r="C25" s="3"/>
      <c r="D25" s="16"/>
      <c r="E25" s="6"/>
      <c r="F25" s="15"/>
      <c r="G25" s="6"/>
      <c r="I25" s="3"/>
      <c r="J25" s="3"/>
      <c r="K25" s="14"/>
    </row>
    <row r="26" spans="1:14" s="2" customFormat="1" ht="18.75" thickBot="1">
      <c r="A26" s="11"/>
      <c r="B26" s="7" t="str">
        <f>IF($H$6="","",$H$6-2)</f>
        <v/>
      </c>
      <c r="C26" s="3" t="s">
        <v>10</v>
      </c>
      <c r="D26" s="13" t="str">
        <f ca="1">IF(B26="","",RAND())</f>
        <v/>
      </c>
      <c r="E26" s="6" t="s">
        <v>33</v>
      </c>
      <c r="F26" s="30" t="str">
        <f>IF(B26="","",1+B26*D26+E26)</f>
        <v/>
      </c>
      <c r="G26" s="27" t="s">
        <v>42</v>
      </c>
      <c r="H26" s="29" t="s">
        <v>43</v>
      </c>
      <c r="I26" s="6"/>
      <c r="J26" s="6"/>
    </row>
    <row r="27" spans="1:14" s="2" customFormat="1" ht="15" customHeight="1" thickTop="1">
      <c r="A27" s="11"/>
      <c r="B27" s="3"/>
      <c r="C27" s="3"/>
      <c r="D27" s="3"/>
      <c r="E27" s="6"/>
      <c r="F27" s="3"/>
      <c r="G27" s="6"/>
      <c r="I27" s="3"/>
      <c r="J27" s="3"/>
      <c r="K27" s="4"/>
    </row>
    <row r="28" spans="1:14" s="2" customFormat="1" ht="18">
      <c r="A28" s="11"/>
      <c r="B28" s="3"/>
      <c r="D28" s="3" t="s">
        <v>17</v>
      </c>
      <c r="E28" s="6"/>
      <c r="F28" s="3"/>
      <c r="G28" s="6"/>
      <c r="I28" s="3"/>
      <c r="J28" s="3"/>
      <c r="K28" s="4"/>
    </row>
    <row r="29" spans="1:14" s="2" customFormat="1" ht="18.75" thickBot="1">
      <c r="A29" s="25" t="s">
        <v>67</v>
      </c>
      <c r="B29" s="10" t="str">
        <f>IF($L$11="","",IF(L11&gt;1,H11/L11,IF(AND(L11=1,L13&gt;=1),H13/L13,"")))</f>
        <v/>
      </c>
      <c r="C29" s="3" t="s">
        <v>10</v>
      </c>
      <c r="D29" s="13" t="str">
        <f ca="1">IF(B29="","",RAND())</f>
        <v/>
      </c>
      <c r="E29" s="6" t="s">
        <v>7</v>
      </c>
      <c r="F29" s="10" t="str">
        <f>IF(B29="","",B29*D29)</f>
        <v/>
      </c>
      <c r="G29" s="6" t="s">
        <v>25</v>
      </c>
      <c r="H29" s="37" t="str">
        <f>IF(L11="","",IF(L11&gt;1,$B$11+(($H$11/L11)/100),IF(L11=1,B13,"")))</f>
        <v/>
      </c>
      <c r="I29" s="38" t="s">
        <v>7</v>
      </c>
      <c r="J29" s="136" t="s">
        <v>6</v>
      </c>
      <c r="K29" s="114"/>
      <c r="L29" s="28" t="str">
        <f>IF(F29="","",H29+(F29/100))</f>
        <v/>
      </c>
    </row>
    <row r="30" spans="1:14" s="2" customFormat="1" ht="9" customHeight="1" thickTop="1">
      <c r="B30" s="15"/>
      <c r="C30" s="3"/>
      <c r="D30" s="17"/>
      <c r="E30" s="6"/>
      <c r="F30" s="12"/>
      <c r="G30" s="6"/>
      <c r="I30" s="3"/>
      <c r="J30" s="3"/>
      <c r="K30" s="14"/>
    </row>
    <row r="31" spans="1:14" s="2" customFormat="1" ht="18.75" thickBot="1">
      <c r="A31" s="11"/>
      <c r="B31" s="7" t="str">
        <f>IF($H$6="","",$H$6-2)</f>
        <v/>
      </c>
      <c r="C31" s="3" t="s">
        <v>10</v>
      </c>
      <c r="D31" s="13" t="str">
        <f ca="1">IF(B31="","",RAND())</f>
        <v/>
      </c>
      <c r="E31" s="6" t="s">
        <v>33</v>
      </c>
      <c r="F31" s="30" t="str">
        <f>IF(B31="","",1+B31*D31+E31)</f>
        <v/>
      </c>
      <c r="G31" s="27" t="s">
        <v>42</v>
      </c>
      <c r="H31" s="29" t="s">
        <v>43</v>
      </c>
      <c r="I31" s="6"/>
      <c r="J31" s="6"/>
    </row>
    <row r="32" spans="1:14" s="2" customFormat="1" ht="15" customHeight="1" thickTop="1">
      <c r="A32" s="11"/>
      <c r="B32" s="3"/>
      <c r="C32" s="3"/>
      <c r="D32" s="3"/>
      <c r="E32" s="6"/>
      <c r="F32" s="3"/>
      <c r="G32" s="6"/>
      <c r="I32" s="3"/>
      <c r="J32" s="3"/>
      <c r="K32" s="4"/>
    </row>
    <row r="33" spans="1:13" s="2" customFormat="1" ht="18">
      <c r="A33" s="11"/>
      <c r="B33" s="3"/>
      <c r="D33" s="3"/>
      <c r="E33" s="6"/>
      <c r="F33" s="3"/>
      <c r="G33" s="6"/>
      <c r="H33" s="2" t="s">
        <v>17</v>
      </c>
      <c r="I33" s="3"/>
      <c r="J33" s="3"/>
      <c r="K33" s="4"/>
    </row>
    <row r="34" spans="1:13" s="2" customFormat="1" ht="18.75" thickBot="1">
      <c r="A34" s="25" t="s">
        <v>66</v>
      </c>
      <c r="B34" s="10" t="str">
        <f>IF($L$11="","",IF($L$11&gt;2,$H$11/$L$11,IF($L$11+$L$13&gt;2,$H$13/$L$13,IF($L$11+$L$13=2,$H$15/$L$15,""))))</f>
        <v/>
      </c>
      <c r="C34" s="3" t="s">
        <v>10</v>
      </c>
      <c r="D34" s="13" t="str">
        <f ca="1">IF(B34="","",RAND())</f>
        <v/>
      </c>
      <c r="E34" s="6" t="s">
        <v>7</v>
      </c>
      <c r="F34" s="10" t="str">
        <f>IF(B34="","",B34*D34)</f>
        <v/>
      </c>
      <c r="G34" s="6" t="s">
        <v>25</v>
      </c>
      <c r="H34" s="37" t="str">
        <f>IF($L$11="","",IF($L$11&gt;2,$B$11+2*(($H$11/$L$11)/100),IF(AND($L$11+$L$13&gt;2,$L$11=1),$H$29+($H$13/$L$13)/100,IF(AND($L$11+$L$13&gt;2,$L$11=2),$B$13,$B$15))))</f>
        <v/>
      </c>
      <c r="I34" s="38" t="s">
        <v>7</v>
      </c>
      <c r="J34" s="136" t="s">
        <v>6</v>
      </c>
      <c r="K34" s="114"/>
      <c r="L34" s="28" t="str">
        <f>IF(F34="","",H34+(F34/100))</f>
        <v/>
      </c>
    </row>
    <row r="35" spans="1:13" s="2" customFormat="1" ht="9" customHeight="1" thickTop="1">
      <c r="B35" s="12"/>
      <c r="C35" s="3"/>
      <c r="D35" s="17"/>
      <c r="E35" s="6"/>
      <c r="F35" s="12"/>
      <c r="G35" s="6"/>
      <c r="I35" s="3"/>
      <c r="J35" s="3"/>
      <c r="K35" s="14"/>
    </row>
    <row r="36" spans="1:13" s="2" customFormat="1" ht="18.75" thickBot="1">
      <c r="A36" s="11"/>
      <c r="B36" s="7" t="str">
        <f>IF($H$6="","",$H$6-2)</f>
        <v/>
      </c>
      <c r="C36" s="3" t="s">
        <v>10</v>
      </c>
      <c r="D36" s="13" t="str">
        <f ca="1">IF(B36="","",RAND())</f>
        <v/>
      </c>
      <c r="E36" s="6" t="s">
        <v>33</v>
      </c>
      <c r="F36" s="30" t="str">
        <f>IF(B36="","",1+B36*D36+E36)</f>
        <v/>
      </c>
      <c r="G36" s="27" t="s">
        <v>42</v>
      </c>
      <c r="H36" s="29" t="s">
        <v>43</v>
      </c>
      <c r="I36" s="6"/>
      <c r="J36" s="6"/>
    </row>
    <row r="37" spans="1:13" s="2" customFormat="1" ht="15" customHeight="1" thickTop="1">
      <c r="A37" s="11"/>
      <c r="B37" s="3"/>
      <c r="C37" s="3"/>
      <c r="D37" s="3"/>
      <c r="E37" s="6"/>
      <c r="F37" s="3"/>
      <c r="G37" s="6"/>
      <c r="H37" s="2" t="s">
        <v>17</v>
      </c>
      <c r="I37" s="3"/>
      <c r="J37" s="3"/>
      <c r="K37" s="4"/>
      <c r="M37" s="11"/>
    </row>
    <row r="38" spans="1:13" s="2" customFormat="1" ht="18">
      <c r="A38" s="11"/>
      <c r="B38" s="3"/>
      <c r="D38" s="3"/>
      <c r="E38" s="6"/>
      <c r="F38" s="3"/>
      <c r="G38" s="6"/>
      <c r="I38" s="3"/>
      <c r="J38" s="3"/>
      <c r="K38" s="4"/>
    </row>
    <row r="39" spans="1:13" s="2" customFormat="1" ht="18.75" thickBot="1">
      <c r="A39" s="25" t="s">
        <v>65</v>
      </c>
      <c r="B39" s="10" t="str">
        <f>IF($L$11="","",IF($L$11&gt;3,$H$11/$L$11,IF($L$11+$L$13&gt;3,$H$13/$L$13,IF($L$11+$L$13=3,$H$15/$L$15,$H$17/$L$17))))</f>
        <v/>
      </c>
      <c r="C39" s="3" t="s">
        <v>10</v>
      </c>
      <c r="D39" s="13" t="str">
        <f ca="1">IF(B39="","",RAND())</f>
        <v/>
      </c>
      <c r="E39" s="6" t="s">
        <v>7</v>
      </c>
      <c r="F39" s="10" t="str">
        <f>IF(B39="","",B39*D39)</f>
        <v/>
      </c>
      <c r="G39" s="6" t="s">
        <v>25</v>
      </c>
      <c r="H39" s="37" t="str">
        <f>IF($L$11="","",IF($L$11&gt;3,$B$11+3*(($H$11/$L$11)/100),IF(AND($L$11+$L$13&gt;3,$L$11&lt;=2),$H$34+($H$13/$L$13)/100,IF(AND($L$11+$L$13&gt;3,$L$11=3),$B$13,IF($L$11+$L$13+$L$15&gt;3,$B$15,$B$17)))))</f>
        <v/>
      </c>
      <c r="I39" s="38" t="s">
        <v>7</v>
      </c>
      <c r="J39" s="136" t="s">
        <v>6</v>
      </c>
      <c r="K39" s="114"/>
      <c r="L39" s="28" t="str">
        <f>IF(F39="","",H39+(F39/100))</f>
        <v/>
      </c>
    </row>
    <row r="40" spans="1:13" s="2" customFormat="1" ht="9" customHeight="1" thickTop="1">
      <c r="B40" s="12"/>
      <c r="C40" s="3"/>
      <c r="D40" s="17"/>
      <c r="E40" s="6"/>
      <c r="F40" s="12"/>
      <c r="G40" s="6"/>
      <c r="I40" s="3"/>
      <c r="J40" s="3"/>
      <c r="K40" s="14"/>
    </row>
    <row r="41" spans="1:13" s="2" customFormat="1" ht="18.75" thickBot="1">
      <c r="A41" s="11"/>
      <c r="B41" s="7" t="str">
        <f>IF($H$6="","",$H$6-2)</f>
        <v/>
      </c>
      <c r="C41" s="3" t="s">
        <v>10</v>
      </c>
      <c r="D41" s="13" t="str">
        <f ca="1">IF(B41="","",RAND())</f>
        <v/>
      </c>
      <c r="E41" s="6" t="s">
        <v>33</v>
      </c>
      <c r="F41" s="30" t="str">
        <f>IF(B41="","",1+B41*D41+E41)</f>
        <v/>
      </c>
      <c r="G41" s="27" t="s">
        <v>42</v>
      </c>
      <c r="H41" s="29" t="s">
        <v>43</v>
      </c>
      <c r="I41" s="6"/>
      <c r="J41" s="6"/>
    </row>
    <row r="42" spans="1:13" s="2" customFormat="1" ht="15" customHeight="1" thickTop="1">
      <c r="A42" s="11"/>
      <c r="B42" s="3"/>
      <c r="C42" s="3"/>
      <c r="D42" s="3"/>
      <c r="E42" s="6"/>
      <c r="F42" s="3"/>
      <c r="G42" s="6"/>
      <c r="H42" s="2" t="s">
        <v>17</v>
      </c>
      <c r="I42" s="3"/>
      <c r="J42" s="3"/>
      <c r="K42" s="4"/>
    </row>
    <row r="43" spans="1:13" s="2" customFormat="1" ht="18">
      <c r="A43" s="11"/>
      <c r="B43" s="3"/>
      <c r="D43" s="3" t="s">
        <v>17</v>
      </c>
      <c r="E43" s="6"/>
      <c r="F43" s="3"/>
      <c r="G43" s="6"/>
      <c r="I43" s="3"/>
      <c r="J43" s="3"/>
      <c r="K43" s="4"/>
    </row>
    <row r="44" spans="1:13" s="2" customFormat="1" ht="18.75" thickBot="1">
      <c r="A44" s="25" t="s">
        <v>64</v>
      </c>
      <c r="B44" s="10" t="str">
        <f>IF($L$11="","",IF($L$11&gt;4,$H$11/$L$11,IF($L$11+$L$13&gt;4,$H$13/$L$13,IF($L$11+$L$13=4,$H$15/$L$15,IF($L$11+$L$13+$L$15&gt;4,$H$15/$L$15,$H$17/$L$17)))))</f>
        <v/>
      </c>
      <c r="C44" s="3" t="s">
        <v>10</v>
      </c>
      <c r="D44" s="13" t="str">
        <f ca="1">IF(B44="","",RAND())</f>
        <v/>
      </c>
      <c r="E44" s="6" t="s">
        <v>7</v>
      </c>
      <c r="F44" s="10" t="str">
        <f>IF(B44="","",B44*D44)</f>
        <v/>
      </c>
      <c r="G44" s="6" t="s">
        <v>25</v>
      </c>
      <c r="H44" s="37" t="str">
        <f>IF($L$11="","",IF($L$11&gt;4,$B$11+4*(($H$11/$L$11)/100),IF(AND($L$11+$L$13&gt;4,$L$11&lt;=3),$H$39+($H$13/$L$13)/100,IF(AND($L$11+$L$13&gt;4,$L$11=4),$B$13,IF($L$11+$L$13=4,$B$15,IF($L$11+$L$13+$L$15&gt;4,$H$39+($H$15/$L$15)/100,IF($L$11+$L$13+$L$15&lt;4,$H$39+($H$17/$L$17)/100,$B$17)))))))</f>
        <v/>
      </c>
      <c r="I44" s="38" t="s">
        <v>7</v>
      </c>
      <c r="J44" s="136" t="s">
        <v>6</v>
      </c>
      <c r="K44" s="114"/>
      <c r="L44" s="28" t="str">
        <f>IF(F44="","",H44+(F44/100))</f>
        <v/>
      </c>
    </row>
    <row r="45" spans="1:13" s="2" customFormat="1" ht="9" customHeight="1" thickTop="1">
      <c r="B45" s="12"/>
      <c r="C45" s="3"/>
      <c r="D45" s="17"/>
      <c r="E45" s="6"/>
      <c r="F45" s="12"/>
      <c r="G45" s="6"/>
      <c r="I45" s="3"/>
      <c r="J45" s="3"/>
      <c r="K45" s="14"/>
    </row>
    <row r="46" spans="1:13" s="2" customFormat="1" ht="18.75" thickBot="1">
      <c r="A46" s="11"/>
      <c r="B46" s="7" t="str">
        <f>IF($H$6="","",$H$6-2)</f>
        <v/>
      </c>
      <c r="C46" s="3" t="s">
        <v>10</v>
      </c>
      <c r="D46" s="13" t="str">
        <f ca="1">IF(B46="","",RAND())</f>
        <v/>
      </c>
      <c r="E46" s="6" t="s">
        <v>33</v>
      </c>
      <c r="F46" s="30" t="str">
        <f>IF(B46="","",1+B46*D46+E46)</f>
        <v/>
      </c>
      <c r="G46" s="27" t="s">
        <v>42</v>
      </c>
      <c r="H46" s="29" t="s">
        <v>43</v>
      </c>
      <c r="I46" s="6"/>
      <c r="J46" s="6"/>
    </row>
    <row r="47" spans="1:13" s="2" customFormat="1" ht="15" customHeight="1" thickTop="1">
      <c r="A47" s="11"/>
      <c r="B47" s="3"/>
      <c r="C47" s="3"/>
      <c r="D47" s="3"/>
      <c r="E47" s="6"/>
      <c r="F47" s="3"/>
      <c r="G47" s="6"/>
      <c r="I47" s="3"/>
      <c r="J47" s="3"/>
      <c r="K47" s="4"/>
    </row>
    <row r="48" spans="1:13" s="2" customFormat="1" ht="18">
      <c r="A48" s="11"/>
      <c r="B48" s="3"/>
      <c r="D48" s="3"/>
      <c r="E48" s="6"/>
      <c r="F48" s="3"/>
      <c r="G48" s="6"/>
      <c r="I48" s="3"/>
      <c r="J48" s="3"/>
      <c r="K48" s="4"/>
    </row>
    <row r="49" spans="1:12" s="2" customFormat="1" ht="18.75" thickBot="1">
      <c r="A49" s="25" t="s">
        <v>59</v>
      </c>
      <c r="B49" s="10" t="str">
        <f>IF($L$11="","",IF($L$11&gt;5,$H$11/$L$11,IF($L$11+$L$13&gt;5,$H$13/$L$13,IF($L$11+$L$13=5,$H$15/$L$15,IF($L$11+$L$13+$L$15&gt;5,$H$15/$L$15,$H$17/$L$17)))))</f>
        <v/>
      </c>
      <c r="C49" s="3" t="s">
        <v>10</v>
      </c>
      <c r="D49" s="13" t="str">
        <f ca="1">IF(B49="","",RAND())</f>
        <v/>
      </c>
      <c r="E49" s="6" t="s">
        <v>7</v>
      </c>
      <c r="F49" s="10" t="str">
        <f>IF(B49="","",B49*D49)</f>
        <v/>
      </c>
      <c r="G49" s="6" t="s">
        <v>25</v>
      </c>
      <c r="H49" s="37" t="str">
        <f>IF($L$11="","",IF($L$11&gt;5,$B$11+5*(($H$11/$L$11)/100),IF(AND($L$11+$L$13&gt;5,$L$11&lt;=4),$H$44+($H$13/$L$13)/100,IF(AND($L$11+$L$13&gt;5,$L$11=5),$B$13,IF($L$11+$L$13=5,$B$15,IF($L$11+$L$13+$L$15&gt;5,$H$44+($H$15/$L$15)/100,IF($L$11+$L$13+$L$15&lt;=4,$H$44+($H$17/$L$17)/100,$B$17)))))))</f>
        <v/>
      </c>
      <c r="I49" s="38" t="s">
        <v>7</v>
      </c>
      <c r="J49" s="136" t="s">
        <v>6</v>
      </c>
      <c r="K49" s="114"/>
      <c r="L49" s="28" t="str">
        <f>IF(F49="","",H49+(F49/100))</f>
        <v/>
      </c>
    </row>
    <row r="50" spans="1:12" s="2" customFormat="1" ht="9" customHeight="1" thickTop="1">
      <c r="B50" s="12"/>
      <c r="C50" s="3"/>
      <c r="D50" s="17"/>
      <c r="E50" s="6"/>
      <c r="F50" s="12"/>
      <c r="G50" s="6"/>
      <c r="I50" s="3"/>
      <c r="J50" s="3"/>
      <c r="K50" s="14"/>
    </row>
    <row r="51" spans="1:12" s="2" customFormat="1" ht="18.75" thickBot="1">
      <c r="A51" s="11"/>
      <c r="B51" s="7" t="str">
        <f>IF($H$6="","",$H$6-2)</f>
        <v/>
      </c>
      <c r="C51" s="3" t="s">
        <v>10</v>
      </c>
      <c r="D51" s="13" t="str">
        <f ca="1">IF(B51="","",RAND())</f>
        <v/>
      </c>
      <c r="E51" s="6" t="s">
        <v>33</v>
      </c>
      <c r="F51" s="30" t="str">
        <f>IF(B51="","",1+B51*D51+E51)</f>
        <v/>
      </c>
      <c r="G51" s="27" t="s">
        <v>42</v>
      </c>
      <c r="H51" s="29" t="s">
        <v>43</v>
      </c>
      <c r="I51" s="6"/>
      <c r="J51" s="6"/>
    </row>
    <row r="52" spans="1:12" s="2" customFormat="1" ht="15" customHeight="1" thickTop="1">
      <c r="A52" s="11"/>
      <c r="B52" s="3"/>
      <c r="C52" s="3"/>
      <c r="D52" s="3"/>
      <c r="E52" s="6"/>
      <c r="F52" s="3"/>
      <c r="G52" s="6"/>
      <c r="I52" s="3"/>
      <c r="J52" s="3"/>
      <c r="K52" s="4"/>
    </row>
    <row r="53" spans="1:12" s="2" customFormat="1" ht="18">
      <c r="A53" s="11"/>
      <c r="B53" s="3"/>
      <c r="D53" s="3"/>
      <c r="E53" s="6"/>
      <c r="F53" s="3"/>
      <c r="G53" s="6"/>
      <c r="I53" s="3"/>
      <c r="J53" s="3"/>
      <c r="K53" s="4"/>
    </row>
    <row r="54" spans="1:12" s="2" customFormat="1" ht="18.75" thickBot="1">
      <c r="A54" s="25" t="s">
        <v>58</v>
      </c>
      <c r="B54" s="10" t="str">
        <f>IF($L$11="","",IF($L$11&gt;6,$H$11/$L$11,IF($L$11+$L$13&gt;6,$H$13/$L$13,IF($L$11+$L$13=6,$H$15/$L$15,IF($L$11+$L$13+$L$15&gt;6,$H$15/$L$15,$H$17/$L$17)))))</f>
        <v/>
      </c>
      <c r="C54" s="3" t="s">
        <v>10</v>
      </c>
      <c r="D54" s="13" t="str">
        <f ca="1">IF(B54="","",RAND())</f>
        <v/>
      </c>
      <c r="E54" s="6" t="s">
        <v>7</v>
      </c>
      <c r="F54" s="10" t="str">
        <f>IF(B54="","",B54*D54)</f>
        <v/>
      </c>
      <c r="G54" s="6" t="s">
        <v>25</v>
      </c>
      <c r="H54" s="37" t="str">
        <f>IF($L$11="","",IF($L$11&gt;6,$B$11+6*(($H$11/$L$11)/100),IF(AND($L$11+$L$13&gt;6,$L$11&lt;=5),$H$49+($H$13/$L$13)/100,IF(AND($L$11+$L$13&gt;6,$L$11=6),$B$13,IF($L$11+$L$13=6,$B$15,IF($L$11+$L$13+$L$15&gt;6,$H$49+($H$15/$L$15)/100,IF($L$11+$L$13+$L$15&lt;=5,$H$49+($H$17/$L$17)/100,$B$17)))))))</f>
        <v/>
      </c>
      <c r="I54" s="38" t="s">
        <v>7</v>
      </c>
      <c r="J54" s="136" t="s">
        <v>6</v>
      </c>
      <c r="K54" s="114"/>
      <c r="L54" s="28" t="str">
        <f>IF(F54="","",H54+(F54/100))</f>
        <v/>
      </c>
    </row>
    <row r="55" spans="1:12" s="2" customFormat="1" ht="9" customHeight="1" thickTop="1">
      <c r="B55" s="12"/>
      <c r="C55" s="3"/>
      <c r="D55" s="17"/>
      <c r="E55" s="6"/>
      <c r="F55" s="15"/>
      <c r="G55" s="6"/>
      <c r="K55" s="14"/>
    </row>
    <row r="56" spans="1:12" s="2" customFormat="1" ht="18.75" thickBot="1">
      <c r="B56" s="7" t="str">
        <f>IF($H$6="","",$H$6-2)</f>
        <v/>
      </c>
      <c r="C56" s="3" t="s">
        <v>10</v>
      </c>
      <c r="D56" s="13" t="str">
        <f ca="1">IF(B56="","",RAND())</f>
        <v/>
      </c>
      <c r="E56" s="6" t="s">
        <v>33</v>
      </c>
      <c r="F56" s="30" t="str">
        <f>IF(B56="","",1+B56*D56+E56)</f>
        <v/>
      </c>
      <c r="G56" s="27" t="s">
        <v>42</v>
      </c>
      <c r="H56" s="29" t="s">
        <v>43</v>
      </c>
      <c r="I56" s="26"/>
      <c r="J56" s="26"/>
    </row>
    <row r="57" spans="1:12" s="2" customFormat="1" ht="18.75" thickTop="1">
      <c r="B57" s="51"/>
      <c r="C57" s="3"/>
      <c r="D57" s="17"/>
      <c r="E57" s="6"/>
      <c r="F57" s="52"/>
      <c r="G57" s="27"/>
      <c r="H57" s="29"/>
      <c r="I57" s="26"/>
      <c r="J57" s="26"/>
    </row>
    <row r="58" spans="1:12" s="2" customFormat="1" ht="15.75" customHeight="1">
      <c r="G58" s="3"/>
    </row>
    <row r="59" spans="1:12" s="2" customFormat="1" ht="18.75" customHeight="1" thickBot="1">
      <c r="A59" s="25" t="s">
        <v>60</v>
      </c>
      <c r="B59" s="10" t="str">
        <f>IF($L$11="","",IF($L$11&gt;7,$H$11/$L$11,IF($L$11+$L$13&gt;7,$H$13/$L$13,IF($L$11+$L$13=7,$H$15/$L$15,IF($L$11+$L$13+$L$15&gt;7,$H$15/$L$15,$H$17/$L$17)))))</f>
        <v/>
      </c>
      <c r="C59" s="3" t="s">
        <v>10</v>
      </c>
      <c r="D59" s="13" t="str">
        <f ca="1">IF(B59="","",RAND())</f>
        <v/>
      </c>
      <c r="E59" s="6" t="s">
        <v>7</v>
      </c>
      <c r="F59" s="10" t="str">
        <f>IF(B59="","",B59*D59)</f>
        <v/>
      </c>
      <c r="G59" s="6" t="s">
        <v>25</v>
      </c>
      <c r="H59" s="37" t="str">
        <f>IF($L$11="","",IF($L$11&gt;7,$B$11+7*(($H$11/$L$11)/100),IF(AND($L$11+$L$13&gt;7,$L$11&lt;=6),$H$54+($H$13/$L$13)/100,IF(AND($L$11+$L$13&gt;7,$L$11=7),$B$13,IF($L$11+$L$13=7,$B$15,IF($L$11+$L$13+$L$15&gt;7,$H$49+($H$15/$L$15)/100,IF($L$11+$L$13+$L$15&lt;=6,$H$49+($H$17/$L$17)/100,$B$17)))))))</f>
        <v/>
      </c>
      <c r="I59" s="38" t="s">
        <v>7</v>
      </c>
      <c r="J59" s="136" t="s">
        <v>6</v>
      </c>
      <c r="K59" s="114"/>
      <c r="L59" s="28" t="str">
        <f>IF(F59="","",H59+(F59/100))</f>
        <v/>
      </c>
    </row>
    <row r="60" spans="1:12" s="2" customFormat="1" ht="9" customHeight="1" thickTop="1">
      <c r="G60" s="3"/>
    </row>
    <row r="61" spans="1:12" s="2" customFormat="1" ht="18.75" customHeight="1" thickBot="1">
      <c r="B61" s="7" t="str">
        <f>IF($H$6="","",$H$6-2)</f>
        <v/>
      </c>
      <c r="C61" s="3" t="s">
        <v>10</v>
      </c>
      <c r="D61" s="13" t="str">
        <f ca="1">IF(B61="","",RAND())</f>
        <v/>
      </c>
      <c r="E61" s="6" t="s">
        <v>33</v>
      </c>
      <c r="F61" s="30" t="str">
        <f>IF(B61="","",1+B61*D61+E61)</f>
        <v/>
      </c>
      <c r="G61" s="27" t="s">
        <v>42</v>
      </c>
      <c r="H61" s="29" t="s">
        <v>43</v>
      </c>
    </row>
    <row r="62" spans="1:12" s="2" customFormat="1" ht="18" customHeight="1" thickTop="1">
      <c r="B62" s="51"/>
      <c r="C62" s="3"/>
      <c r="D62" s="17"/>
      <c r="E62" s="6"/>
      <c r="F62" s="52"/>
      <c r="G62" s="27"/>
      <c r="H62" s="29"/>
    </row>
    <row r="63" spans="1:12" s="2" customFormat="1" ht="18" customHeight="1">
      <c r="G63" s="3"/>
    </row>
    <row r="64" spans="1:12" s="2" customFormat="1" ht="18.75" customHeight="1" thickBot="1">
      <c r="A64" s="25" t="s">
        <v>61</v>
      </c>
      <c r="B64" s="10" t="str">
        <f>IF($L$11="","",IF($L$11&gt;8,$H$11/$L$11,IF($L$11+$L$13&gt;8,$H$13/$L$13,IF($L$11+$L$13=8,$H$15/$L$15,IF($L$11+$L$13+$L$15&gt;8,$H$15/$L$15,$H$17/$L$17)))))</f>
        <v/>
      </c>
      <c r="C64" s="3" t="s">
        <v>10</v>
      </c>
      <c r="D64" s="13" t="str">
        <f ca="1">IF(B64="","",RAND())</f>
        <v/>
      </c>
      <c r="E64" s="6" t="s">
        <v>7</v>
      </c>
      <c r="F64" s="10" t="str">
        <f>IF(B64="","",B64*D64)</f>
        <v/>
      </c>
      <c r="G64" s="6" t="s">
        <v>25</v>
      </c>
      <c r="H64" s="37" t="str">
        <f>IF($L$11="","",IF($L$11&gt;8,$B$11+8*(($H$11/$L$11)/100),IF(AND($L$11+$L$13&gt;8,$L$11&lt;=7),$H$59+($H$13/$L$13)/100,IF(AND($L$11+$L$13&gt;8,$L$11=8),$B$13,IF($L$11+$L$13=8,$B$15,IF($L$11+$L$13+$L$15&gt;8,$H$49+($H$15/$L$15)/100,IF($L$11+$L$13+$L$15&lt;=7,$H$49+($H$17/$L$17)/100,$B$17)))))))</f>
        <v/>
      </c>
      <c r="I64" s="38" t="s">
        <v>7</v>
      </c>
      <c r="J64" s="136" t="s">
        <v>6</v>
      </c>
      <c r="K64" s="114"/>
      <c r="L64" s="28" t="str">
        <f>IF(F64="","",H64+(F64/100))</f>
        <v/>
      </c>
    </row>
    <row r="65" spans="1:13" s="2" customFormat="1" ht="9" customHeight="1" thickTop="1">
      <c r="G65" s="3"/>
    </row>
    <row r="66" spans="1:13" s="2" customFormat="1" ht="18.75" customHeight="1" thickBot="1">
      <c r="B66" s="7" t="str">
        <f>IF($H$6="","",$H$6-2)</f>
        <v/>
      </c>
      <c r="C66" s="3" t="s">
        <v>10</v>
      </c>
      <c r="D66" s="13" t="str">
        <f ca="1">IF(B66="","",RAND())</f>
        <v/>
      </c>
      <c r="E66" s="6" t="s">
        <v>33</v>
      </c>
      <c r="F66" s="30" t="str">
        <f>IF(B66="","",1+B66*D66+E66)</f>
        <v/>
      </c>
      <c r="G66" s="27" t="s">
        <v>42</v>
      </c>
      <c r="H66" s="29" t="s">
        <v>43</v>
      </c>
    </row>
    <row r="67" spans="1:13" s="2" customFormat="1" ht="18" customHeight="1" thickTop="1">
      <c r="B67" s="51"/>
      <c r="C67" s="3"/>
      <c r="D67" s="17"/>
      <c r="E67" s="6"/>
      <c r="F67" s="52"/>
      <c r="G67" s="27"/>
      <c r="H67" s="29"/>
    </row>
    <row r="68" spans="1:13" s="2" customFormat="1" ht="18" customHeight="1">
      <c r="A68" s="4"/>
      <c r="B68" s="3"/>
      <c r="C68" s="22"/>
      <c r="D68" s="3"/>
      <c r="E68" s="3"/>
      <c r="G68" s="115"/>
      <c r="H68" s="115"/>
      <c r="I68" s="115"/>
      <c r="J68" s="4"/>
      <c r="K68" s="134"/>
      <c r="L68" s="134"/>
    </row>
    <row r="69" spans="1:13" s="2" customFormat="1" ht="18.75" customHeight="1" thickBot="1">
      <c r="A69" s="25" t="s">
        <v>62</v>
      </c>
      <c r="B69" s="10" t="str">
        <f>IF($L$11="","",IF($L$11&gt;9,$H$11/$L$11,IF($L$11+$L$13&gt;9,$H$13/$L$13,IF($L$11+$L$13=9,$H$15/$L$15,IF($L$11+$L$13+$L$15&gt;9,$H$15/$L$15,$H$17/$L$17)))))</f>
        <v/>
      </c>
      <c r="C69" s="3" t="s">
        <v>10</v>
      </c>
      <c r="D69" s="13" t="str">
        <f ca="1">IF(B69="","",RAND())</f>
        <v/>
      </c>
      <c r="E69" s="6" t="s">
        <v>7</v>
      </c>
      <c r="F69" s="10" t="str">
        <f>IF(B69="","",B69*D69)</f>
        <v/>
      </c>
      <c r="G69" s="6" t="s">
        <v>25</v>
      </c>
      <c r="H69" s="37" t="str">
        <f>IF($L$11="","",IF($L$11&gt;9,$B$11+9*(($H$11/$L$11)/100),IF(AND($L$11+$L$13&gt;9,$L$11&lt;=8),$H$64+($H$13/$L$13)/100,IF(AND($L$11+$L$13&gt;9,$L$11=9),$B$13,IF($L$11+$L$13=9,$B$15,IF($L$11+$L$13+$L$15&gt;9,$H$49+($H$15/$L$15)/100,IF($L$11+$L$13+$L$15&lt;=8,$H$49+($H$17/$L$17)/100,$B$17)))))))</f>
        <v/>
      </c>
      <c r="I69" s="38" t="s">
        <v>7</v>
      </c>
      <c r="J69" s="136" t="s">
        <v>6</v>
      </c>
      <c r="K69" s="114"/>
      <c r="L69" s="28" t="str">
        <f>IF(F69="","",H69+(F69/100))</f>
        <v/>
      </c>
    </row>
    <row r="70" spans="1:13" s="2" customFormat="1" ht="9" customHeight="1" thickTop="1">
      <c r="G70" s="3"/>
    </row>
    <row r="71" spans="1:13" s="2" customFormat="1" ht="18.75" customHeight="1" thickBot="1">
      <c r="B71" s="7" t="str">
        <f>IF($H$6="","",$H$6-2)</f>
        <v/>
      </c>
      <c r="C71" s="3" t="s">
        <v>10</v>
      </c>
      <c r="D71" s="13" t="str">
        <f ca="1">IF(B71="","",RAND())</f>
        <v/>
      </c>
      <c r="E71" s="6" t="s">
        <v>33</v>
      </c>
      <c r="F71" s="30" t="str">
        <f>IF(B71="","",1+B71*D71+E71)</f>
        <v/>
      </c>
      <c r="G71" s="27" t="s">
        <v>42</v>
      </c>
      <c r="H71" s="29" t="s">
        <v>43</v>
      </c>
    </row>
    <row r="72" spans="1:13" s="2" customFormat="1" ht="18.75" thickTop="1">
      <c r="A72" s="4"/>
      <c r="B72" s="3"/>
      <c r="D72" s="3"/>
      <c r="E72" s="3"/>
      <c r="G72" s="110"/>
      <c r="H72" s="110"/>
      <c r="I72" s="110"/>
      <c r="J72" s="40"/>
      <c r="K72" s="135"/>
      <c r="L72" s="135"/>
    </row>
    <row r="73" spans="1:13" s="2" customFormat="1" ht="8.25" customHeight="1">
      <c r="G73" s="3"/>
    </row>
    <row r="74" spans="1:13" ht="18">
      <c r="A74" s="23"/>
      <c r="B74" s="23"/>
      <c r="C74" s="23"/>
      <c r="D74" s="23"/>
      <c r="E74" s="23"/>
      <c r="F74" s="23"/>
      <c r="G74" s="110"/>
      <c r="H74" s="110"/>
      <c r="I74" s="110"/>
      <c r="J74" s="40"/>
      <c r="K74" s="134"/>
      <c r="L74" s="134"/>
      <c r="M74" s="23"/>
    </row>
    <row r="75" spans="1:13" ht="9" customHeight="1">
      <c r="A75" s="23"/>
      <c r="B75" s="23"/>
      <c r="C75" s="23"/>
      <c r="D75" s="23"/>
      <c r="E75" s="23"/>
      <c r="F75" s="23"/>
      <c r="G75" s="24"/>
      <c r="H75" s="2"/>
      <c r="I75" s="2"/>
      <c r="J75" s="2"/>
      <c r="K75" s="2"/>
      <c r="L75" s="2"/>
      <c r="M75" s="23"/>
    </row>
    <row r="76" spans="1:13" ht="18">
      <c r="A76" s="23"/>
      <c r="B76" s="23"/>
      <c r="C76" s="23"/>
      <c r="D76" s="23"/>
      <c r="E76" s="23"/>
      <c r="F76" s="110"/>
      <c r="G76" s="110"/>
      <c r="H76" s="110"/>
      <c r="I76" s="110"/>
      <c r="J76" s="40"/>
      <c r="K76" s="134"/>
      <c r="L76" s="134"/>
      <c r="M76" s="23"/>
    </row>
  </sheetData>
  <sheetProtection algorithmName="SHA-512" hashValue="zrJKOFICEoIHvwsqy1w7dajcLntrXxsSZR/vfYd/+jV9uBp2H9quvZQWT5b5Nhb/eDZr/aVakJfBMVIfRGwBAQ==" saltValue="JE9JkmbThbdlm9B0UzsA6w==" spinCount="100000" sheet="1" objects="1" scenarios="1"/>
  <mergeCells count="38">
    <mergeCell ref="J6:K6"/>
    <mergeCell ref="J49:K49"/>
    <mergeCell ref="J54:K54"/>
    <mergeCell ref="I19:L19"/>
    <mergeCell ref="I8:K8"/>
    <mergeCell ref="L9:L10"/>
    <mergeCell ref="J24:K24"/>
    <mergeCell ref="B11:C11"/>
    <mergeCell ref="B13:C13"/>
    <mergeCell ref="D1:F1"/>
    <mergeCell ref="D21:F21"/>
    <mergeCell ref="B4:E4"/>
    <mergeCell ref="B6:E6"/>
    <mergeCell ref="B8:C8"/>
    <mergeCell ref="D11:E11"/>
    <mergeCell ref="D13:E13"/>
    <mergeCell ref="D15:E15"/>
    <mergeCell ref="B17:C17"/>
    <mergeCell ref="B15:C15"/>
    <mergeCell ref="D17:E17"/>
    <mergeCell ref="B21:C21"/>
    <mergeCell ref="D2:F2"/>
    <mergeCell ref="F76:I76"/>
    <mergeCell ref="I21:L21"/>
    <mergeCell ref="G68:I68"/>
    <mergeCell ref="G72:I72"/>
    <mergeCell ref="K74:L74"/>
    <mergeCell ref="K76:L76"/>
    <mergeCell ref="K72:L72"/>
    <mergeCell ref="K68:L68"/>
    <mergeCell ref="J29:K29"/>
    <mergeCell ref="J34:K34"/>
    <mergeCell ref="J69:K69"/>
    <mergeCell ref="G74:I74"/>
    <mergeCell ref="J39:K39"/>
    <mergeCell ref="J44:K44"/>
    <mergeCell ref="J64:K64"/>
    <mergeCell ref="J59:K59"/>
  </mergeCells>
  <phoneticPr fontId="1" type="noConversion"/>
  <pageMargins left="1.1000000000000001" right="0.5" top="0.6" bottom="0.5" header="0" footer="0"/>
  <pageSetup scale="61"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G37"/>
  <sheetViews>
    <sheetView workbookViewId="0">
      <selection activeCell="D7" sqref="D7"/>
    </sheetView>
  </sheetViews>
  <sheetFormatPr defaultRowHeight="15"/>
  <sheetData>
    <row r="1" spans="1:7" ht="16.5" thickBot="1">
      <c r="A1" s="44"/>
      <c r="B1" s="45">
        <v>1</v>
      </c>
      <c r="C1" s="45">
        <v>2</v>
      </c>
      <c r="D1" s="45">
        <v>3</v>
      </c>
      <c r="E1" s="45">
        <v>4</v>
      </c>
      <c r="F1" s="45">
        <v>5</v>
      </c>
      <c r="G1" s="45">
        <v>6</v>
      </c>
    </row>
    <row r="2" spans="1:7" ht="15.75" thickBot="1">
      <c r="A2" s="147">
        <v>1</v>
      </c>
      <c r="B2" s="41">
        <f t="shared" ref="B2:B18" ca="1" si="0">RAND()</f>
        <v>0.73462041012463741</v>
      </c>
      <c r="C2" s="41">
        <f t="shared" ref="C2:G17" ca="1" si="1">RAND()</f>
        <v>0.12889473242965011</v>
      </c>
      <c r="D2" s="41">
        <f t="shared" ca="1" si="1"/>
        <v>0.37705772406278515</v>
      </c>
      <c r="E2" s="41">
        <f t="shared" ca="1" si="1"/>
        <v>0.972194497750688</v>
      </c>
      <c r="F2" s="41">
        <f t="shared" ca="1" si="1"/>
        <v>0.18184343845308815</v>
      </c>
      <c r="G2" s="41">
        <f t="shared" ca="1" si="1"/>
        <v>0.71567506831819605</v>
      </c>
    </row>
    <row r="3" spans="1:7" ht="15.75" thickBot="1">
      <c r="A3" s="147"/>
      <c r="B3" s="42">
        <f t="shared" ca="1" si="0"/>
        <v>1.2108620597074515E-2</v>
      </c>
      <c r="C3" s="42">
        <f t="shared" ca="1" si="1"/>
        <v>0.62099719680355447</v>
      </c>
      <c r="D3" s="42">
        <f t="shared" ca="1" si="1"/>
        <v>0.32725777328674566</v>
      </c>
      <c r="E3" s="42">
        <f t="shared" ca="1" si="1"/>
        <v>0.86145632000451589</v>
      </c>
      <c r="F3" s="42">
        <f t="shared" ca="1" si="1"/>
        <v>0.25112176236197703</v>
      </c>
      <c r="G3" s="42">
        <f t="shared" ca="1" si="1"/>
        <v>0.76693924160524496</v>
      </c>
    </row>
    <row r="4" spans="1:7" ht="15.75" thickBot="1">
      <c r="A4" s="147"/>
      <c r="B4" s="42">
        <f t="shared" ca="1" si="0"/>
        <v>0.8660682636446918</v>
      </c>
      <c r="C4" s="42">
        <f t="shared" ca="1" si="1"/>
        <v>0.12416137453912823</v>
      </c>
      <c r="D4" s="42">
        <f t="shared" ca="1" si="1"/>
        <v>0.54616546623069706</v>
      </c>
      <c r="E4" s="42">
        <f t="shared" ca="1" si="1"/>
        <v>0.11597842154930615</v>
      </c>
      <c r="F4" s="42">
        <f t="shared" ca="1" si="1"/>
        <v>0.50078431615623886</v>
      </c>
      <c r="G4" s="42">
        <f t="shared" ca="1" si="1"/>
        <v>0.10688690205568996</v>
      </c>
    </row>
    <row r="5" spans="1:7" ht="15.75" thickBot="1">
      <c r="A5" s="147"/>
      <c r="B5" s="42">
        <f t="shared" ca="1" si="0"/>
        <v>4.6915887914212862E-2</v>
      </c>
      <c r="C5" s="42">
        <f t="shared" ca="1" si="1"/>
        <v>0.44833113184722939</v>
      </c>
      <c r="D5" s="42">
        <f t="shared" ca="1" si="1"/>
        <v>0.47307426938023145</v>
      </c>
      <c r="E5" s="42">
        <f t="shared" ca="1" si="1"/>
        <v>1.385829321736165E-2</v>
      </c>
      <c r="F5" s="42">
        <f t="shared" ca="1" si="1"/>
        <v>0.70524678230068649</v>
      </c>
      <c r="G5" s="42">
        <f t="shared" ca="1" si="1"/>
        <v>0.15832320391615484</v>
      </c>
    </row>
    <row r="6" spans="1:7" ht="15.75" thickBot="1">
      <c r="A6" s="147"/>
      <c r="B6" s="42">
        <f t="shared" ca="1" si="0"/>
        <v>0.12539553570136641</v>
      </c>
      <c r="C6" s="42">
        <f t="shared" ca="1" si="1"/>
        <v>0.2278942214967814</v>
      </c>
      <c r="D6" s="42">
        <f t="shared" ca="1" si="1"/>
        <v>0.37190249852860158</v>
      </c>
      <c r="E6" s="42">
        <f t="shared" ca="1" si="1"/>
        <v>0.52385035657708023</v>
      </c>
      <c r="F6" s="42">
        <f t="shared" ca="1" si="1"/>
        <v>0.79016825465469998</v>
      </c>
      <c r="G6" s="42">
        <f t="shared" ca="1" si="1"/>
        <v>0.14566342857561609</v>
      </c>
    </row>
    <row r="7" spans="1:7" ht="15.75" thickBot="1">
      <c r="A7" s="147"/>
      <c r="B7" s="43">
        <f t="shared" ca="1" si="0"/>
        <v>0.79591178848901889</v>
      </c>
      <c r="C7" s="43">
        <f t="shared" ca="1" si="1"/>
        <v>0.72079915448832832</v>
      </c>
      <c r="D7" s="43">
        <f t="shared" ca="1" si="1"/>
        <v>0.53176205060699766</v>
      </c>
      <c r="E7" s="43">
        <f t="shared" ca="1" si="1"/>
        <v>0.44406703390779911</v>
      </c>
      <c r="F7" s="43">
        <f t="shared" ca="1" si="1"/>
        <v>0.85255910708645521</v>
      </c>
      <c r="G7" s="43">
        <f t="shared" ca="1" si="1"/>
        <v>0.10988057039545485</v>
      </c>
    </row>
    <row r="8" spans="1:7" ht="15.75" thickBot="1">
      <c r="A8" s="147">
        <v>2</v>
      </c>
      <c r="B8" s="42">
        <f t="shared" ca="1" si="0"/>
        <v>0.2092946817523782</v>
      </c>
      <c r="C8" s="42">
        <f t="shared" ca="1" si="1"/>
        <v>0.62354722972876098</v>
      </c>
      <c r="D8" s="42">
        <f t="shared" ca="1" si="1"/>
        <v>0.41404614832329345</v>
      </c>
      <c r="E8" s="42">
        <f t="shared" ca="1" si="1"/>
        <v>0.62882385228374005</v>
      </c>
      <c r="F8" s="42">
        <f t="shared" ca="1" si="1"/>
        <v>8.4787749370401899E-3</v>
      </c>
      <c r="G8" s="42">
        <f t="shared" ca="1" si="1"/>
        <v>0.80698556501967589</v>
      </c>
    </row>
    <row r="9" spans="1:7" ht="15.75" thickBot="1">
      <c r="A9" s="147"/>
      <c r="B9" s="42">
        <f t="shared" ca="1" si="0"/>
        <v>0.417543749358668</v>
      </c>
      <c r="C9" s="42">
        <f t="shared" ca="1" si="1"/>
        <v>0.6271723158085567</v>
      </c>
      <c r="D9" s="42">
        <f t="shared" ca="1" si="1"/>
        <v>0.861177669224927</v>
      </c>
      <c r="E9" s="42">
        <f t="shared" ca="1" si="1"/>
        <v>0.89762822029408096</v>
      </c>
      <c r="F9" s="42">
        <f t="shared" ca="1" si="1"/>
        <v>0.61960023051369495</v>
      </c>
      <c r="G9" s="42">
        <f t="shared" ca="1" si="1"/>
        <v>0.7885476654253557</v>
      </c>
    </row>
    <row r="10" spans="1:7" ht="15.75" thickBot="1">
      <c r="A10" s="147"/>
      <c r="B10" s="42">
        <f t="shared" ca="1" si="0"/>
        <v>0.16762677666727244</v>
      </c>
      <c r="C10" s="42">
        <f t="shared" ca="1" si="1"/>
        <v>0.38836433567535211</v>
      </c>
      <c r="D10" s="42">
        <f t="shared" ca="1" si="1"/>
        <v>0.72926977554801131</v>
      </c>
      <c r="E10" s="42">
        <f t="shared" ca="1" si="1"/>
        <v>3.4606701006737461E-3</v>
      </c>
      <c r="F10" s="42">
        <f t="shared" ca="1" si="1"/>
        <v>0.56302152573575703</v>
      </c>
      <c r="G10" s="42">
        <f t="shared" ca="1" si="1"/>
        <v>0.21840356156242491</v>
      </c>
    </row>
    <row r="11" spans="1:7" ht="15.75" thickBot="1">
      <c r="A11" s="147"/>
      <c r="B11" s="42">
        <f t="shared" ca="1" si="0"/>
        <v>0.73207607435422706</v>
      </c>
      <c r="C11" s="42">
        <f t="shared" ca="1" si="1"/>
        <v>0.88744328981703213</v>
      </c>
      <c r="D11" s="42">
        <f t="shared" ca="1" si="1"/>
        <v>0.77616006570052154</v>
      </c>
      <c r="E11" s="42">
        <f t="shared" ca="1" si="1"/>
        <v>0.3005616623926487</v>
      </c>
      <c r="F11" s="42">
        <f t="shared" ca="1" si="1"/>
        <v>0.4770118120042528</v>
      </c>
      <c r="G11" s="42">
        <f t="shared" ca="1" si="1"/>
        <v>0.15864949564099307</v>
      </c>
    </row>
    <row r="12" spans="1:7" ht="15.75" thickBot="1">
      <c r="A12" s="147"/>
      <c r="B12" s="42">
        <f t="shared" ca="1" si="0"/>
        <v>0.64722287133471956</v>
      </c>
      <c r="C12" s="42">
        <f t="shared" ca="1" si="1"/>
        <v>0.9607614012899347</v>
      </c>
      <c r="D12" s="42">
        <f t="shared" ca="1" si="1"/>
        <v>0.449996008682094</v>
      </c>
      <c r="E12" s="42">
        <f t="shared" ca="1" si="1"/>
        <v>0.50534128173667892</v>
      </c>
      <c r="F12" s="42">
        <f t="shared" ca="1" si="1"/>
        <v>0.17016474196031095</v>
      </c>
      <c r="G12" s="42">
        <f t="shared" ca="1" si="1"/>
        <v>0.89128416266095312</v>
      </c>
    </row>
    <row r="13" spans="1:7" ht="15.75" thickBot="1">
      <c r="A13" s="147"/>
      <c r="B13" s="43">
        <f t="shared" ca="1" si="0"/>
        <v>0.89795595494746017</v>
      </c>
      <c r="C13" s="43">
        <f t="shared" ca="1" si="1"/>
        <v>0.94542985331660245</v>
      </c>
      <c r="D13" s="43">
        <f t="shared" ca="1" si="1"/>
        <v>0.38051405594993237</v>
      </c>
      <c r="E13" s="43">
        <f t="shared" ca="1" si="1"/>
        <v>0.70435898333365876</v>
      </c>
      <c r="F13" s="43">
        <f t="shared" ca="1" si="1"/>
        <v>0.29240117658990228</v>
      </c>
      <c r="G13" s="43">
        <f t="shared" ca="1" si="1"/>
        <v>7.0917886079250203E-2</v>
      </c>
    </row>
    <row r="14" spans="1:7" ht="15.75" thickBot="1">
      <c r="A14" s="147">
        <v>3</v>
      </c>
      <c r="B14" s="42">
        <f t="shared" ca="1" si="0"/>
        <v>0.89873610622583611</v>
      </c>
      <c r="C14" s="42">
        <f t="shared" ca="1" si="1"/>
        <v>0.98863372080351009</v>
      </c>
      <c r="D14" s="42">
        <f t="shared" ca="1" si="1"/>
        <v>0.54078091399790629</v>
      </c>
      <c r="E14" s="42">
        <f t="shared" ca="1" si="1"/>
        <v>0.1903228658326509</v>
      </c>
      <c r="F14" s="42">
        <f t="shared" ca="1" si="1"/>
        <v>0.43066780355642531</v>
      </c>
      <c r="G14" s="42">
        <f t="shared" ca="1" si="1"/>
        <v>0.51806284492818222</v>
      </c>
    </row>
    <row r="15" spans="1:7" ht="15.75" thickBot="1">
      <c r="A15" s="147"/>
      <c r="B15" s="42">
        <f t="shared" ca="1" si="0"/>
        <v>0.4859010764708398</v>
      </c>
      <c r="C15" s="42">
        <f t="shared" ca="1" si="1"/>
        <v>0.2556332331980774</v>
      </c>
      <c r="D15" s="42">
        <f t="shared" ca="1" si="1"/>
        <v>0.95658578090579671</v>
      </c>
      <c r="E15" s="42">
        <f t="shared" ca="1" si="1"/>
        <v>4.7004635432460362E-2</v>
      </c>
      <c r="F15" s="42">
        <f t="shared" ca="1" si="1"/>
        <v>0.6836650805407426</v>
      </c>
      <c r="G15" s="42">
        <f t="shared" ca="1" si="1"/>
        <v>0.44334065965612524</v>
      </c>
    </row>
    <row r="16" spans="1:7" ht="15.75" thickBot="1">
      <c r="A16" s="147"/>
      <c r="B16" s="42">
        <f t="shared" ca="1" si="0"/>
        <v>0.51034925272861054</v>
      </c>
      <c r="C16" s="42">
        <f t="shared" ca="1" si="1"/>
        <v>0.36738923378889754</v>
      </c>
      <c r="D16" s="42">
        <f t="shared" ca="1" si="1"/>
        <v>0.78034862647968373</v>
      </c>
      <c r="E16" s="42">
        <f t="shared" ca="1" si="1"/>
        <v>0.50794795123841208</v>
      </c>
      <c r="F16" s="42">
        <f t="shared" ca="1" si="1"/>
        <v>0.95451206351658646</v>
      </c>
      <c r="G16" s="42">
        <f t="shared" ca="1" si="1"/>
        <v>0.29045660025371456</v>
      </c>
    </row>
    <row r="17" spans="1:7" ht="15.75" thickBot="1">
      <c r="A17" s="147"/>
      <c r="B17" s="42">
        <f t="shared" ca="1" si="0"/>
        <v>0.36343244666144514</v>
      </c>
      <c r="C17" s="42">
        <f t="shared" ca="1" si="1"/>
        <v>0.11637290963610303</v>
      </c>
      <c r="D17" s="42">
        <f t="shared" ca="1" si="1"/>
        <v>0.22148492135713826</v>
      </c>
      <c r="E17" s="42">
        <f t="shared" ca="1" si="1"/>
        <v>0.22778966724441996</v>
      </c>
      <c r="F17" s="42">
        <f t="shared" ca="1" si="1"/>
        <v>0.26528435041811382</v>
      </c>
      <c r="G17" s="42">
        <f t="shared" ca="1" si="1"/>
        <v>5.382740308598033E-2</v>
      </c>
    </row>
    <row r="18" spans="1:7" ht="15.75" thickBot="1">
      <c r="A18" s="147"/>
      <c r="B18" s="42">
        <f t="shared" ca="1" si="0"/>
        <v>0.83627247581639186</v>
      </c>
      <c r="C18" s="42">
        <f ca="1">RAND()</f>
        <v>0.26426135086104097</v>
      </c>
      <c r="D18" s="42">
        <f ca="1">RAND()</f>
        <v>8.3498112974294436E-2</v>
      </c>
      <c r="E18" s="42">
        <f ca="1">RAND()</f>
        <v>0.10786439451918606</v>
      </c>
      <c r="F18" s="42">
        <f ca="1">RAND()</f>
        <v>0.37024582050783639</v>
      </c>
      <c r="G18" s="42">
        <f ca="1">RAND()</f>
        <v>0.79535537593495043</v>
      </c>
    </row>
    <row r="19" spans="1:7" ht="15.75" thickBot="1">
      <c r="A19" s="147"/>
      <c r="B19" s="43">
        <f t="shared" ref="B19:G34" ca="1" si="2">RAND()</f>
        <v>0.32585815229165915</v>
      </c>
      <c r="C19" s="43">
        <f t="shared" ca="1" si="2"/>
        <v>6.005929919459907E-2</v>
      </c>
      <c r="D19" s="43">
        <f t="shared" ca="1" si="2"/>
        <v>0.54283321039217247</v>
      </c>
      <c r="E19" s="43">
        <f t="shared" ca="1" si="2"/>
        <v>0.54028101637143244</v>
      </c>
      <c r="F19" s="43">
        <f t="shared" ca="1" si="2"/>
        <v>2.6328213824705071E-2</v>
      </c>
      <c r="G19" s="43">
        <f t="shared" ca="1" si="2"/>
        <v>0.76123948567316824</v>
      </c>
    </row>
    <row r="20" spans="1:7" ht="15.75" thickBot="1">
      <c r="A20" s="147">
        <v>4</v>
      </c>
      <c r="B20" s="42">
        <f t="shared" ca="1" si="2"/>
        <v>0.98677928182765784</v>
      </c>
      <c r="C20" s="42">
        <f t="shared" ca="1" si="2"/>
        <v>0.84235433614641664</v>
      </c>
      <c r="D20" s="42">
        <f t="shared" ca="1" si="2"/>
        <v>9.2615102723561216E-2</v>
      </c>
      <c r="E20" s="42">
        <f t="shared" ca="1" si="2"/>
        <v>0.9369033992256629</v>
      </c>
      <c r="F20" s="42">
        <f t="shared" ca="1" si="2"/>
        <v>0.87133665127337323</v>
      </c>
      <c r="G20" s="42">
        <f t="shared" ca="1" si="2"/>
        <v>0.73943480285339214</v>
      </c>
    </row>
    <row r="21" spans="1:7" ht="15.75" thickBot="1">
      <c r="A21" s="147"/>
      <c r="B21" s="42">
        <f t="shared" ca="1" si="2"/>
        <v>0.71173136960077332</v>
      </c>
      <c r="C21" s="42">
        <f t="shared" ca="1" si="2"/>
        <v>0.12847568850964031</v>
      </c>
      <c r="D21" s="42">
        <f t="shared" ca="1" si="2"/>
        <v>0.70206629336199666</v>
      </c>
      <c r="E21" s="42">
        <f t="shared" ca="1" si="2"/>
        <v>0.70288088359764167</v>
      </c>
      <c r="F21" s="42">
        <f t="shared" ca="1" si="2"/>
        <v>0.59473552242766503</v>
      </c>
      <c r="G21" s="42">
        <f t="shared" ca="1" si="2"/>
        <v>0.53012893971731445</v>
      </c>
    </row>
    <row r="22" spans="1:7" ht="15.75" thickBot="1">
      <c r="A22" s="147"/>
      <c r="B22" s="42">
        <f t="shared" ca="1" si="2"/>
        <v>4.5947702843513127E-2</v>
      </c>
      <c r="C22" s="42">
        <f t="shared" ca="1" si="2"/>
        <v>0.55394291553574693</v>
      </c>
      <c r="D22" s="42">
        <f t="shared" ca="1" si="2"/>
        <v>0.9448326322317967</v>
      </c>
      <c r="E22" s="42">
        <f t="shared" ca="1" si="2"/>
        <v>0.60780560322475508</v>
      </c>
      <c r="F22" s="42">
        <f t="shared" ca="1" si="2"/>
        <v>0.44011257573156892</v>
      </c>
      <c r="G22" s="42">
        <f t="shared" ca="1" si="2"/>
        <v>0.30855102496123277</v>
      </c>
    </row>
    <row r="23" spans="1:7" ht="15.75" thickBot="1">
      <c r="A23" s="147"/>
      <c r="B23" s="42">
        <f t="shared" ca="1" si="2"/>
        <v>0.59212220967323548</v>
      </c>
      <c r="C23" s="42">
        <f t="shared" ca="1" si="2"/>
        <v>0.30676315183017455</v>
      </c>
      <c r="D23" s="42">
        <f t="shared" ca="1" si="2"/>
        <v>0.75846644214859571</v>
      </c>
      <c r="E23" s="42">
        <f t="shared" ca="1" si="2"/>
        <v>0.9493347882211649</v>
      </c>
      <c r="F23" s="42">
        <f t="shared" ca="1" si="2"/>
        <v>0.47478643183320202</v>
      </c>
      <c r="G23" s="42">
        <f t="shared" ca="1" si="2"/>
        <v>0.27780127386157405</v>
      </c>
    </row>
    <row r="24" spans="1:7" ht="15.75" thickBot="1">
      <c r="A24" s="147"/>
      <c r="B24" s="42">
        <f t="shared" ca="1" si="2"/>
        <v>0.92448950940698382</v>
      </c>
      <c r="C24" s="42">
        <f t="shared" ca="1" si="2"/>
        <v>2.0887723576660688E-2</v>
      </c>
      <c r="D24" s="42">
        <f t="shared" ca="1" si="2"/>
        <v>0.29471284499255113</v>
      </c>
      <c r="E24" s="42">
        <f t="shared" ca="1" si="2"/>
        <v>6.3980088307639571E-2</v>
      </c>
      <c r="F24" s="42">
        <f t="shared" ca="1" si="2"/>
        <v>0.47923815900612032</v>
      </c>
      <c r="G24" s="42">
        <f t="shared" ca="1" si="2"/>
        <v>0.92914350817253166</v>
      </c>
    </row>
    <row r="25" spans="1:7" ht="15.75" thickBot="1">
      <c r="A25" s="147"/>
      <c r="B25" s="43">
        <f t="shared" ca="1" si="2"/>
        <v>0.74414683244576407</v>
      </c>
      <c r="C25" s="43">
        <f t="shared" ca="1" si="2"/>
        <v>0.25734974083066586</v>
      </c>
      <c r="D25" s="43">
        <f t="shared" ca="1" si="2"/>
        <v>0.65360109886117157</v>
      </c>
      <c r="E25" s="43">
        <f t="shared" ca="1" si="2"/>
        <v>0.71894938204349568</v>
      </c>
      <c r="F25" s="43">
        <f t="shared" ca="1" si="2"/>
        <v>0.56981484309064934</v>
      </c>
      <c r="G25" s="43">
        <f t="shared" ca="1" si="2"/>
        <v>0.93760520187040652</v>
      </c>
    </row>
    <row r="26" spans="1:7" ht="15.75" thickBot="1">
      <c r="A26" s="147">
        <v>5</v>
      </c>
      <c r="B26" s="42">
        <f t="shared" ca="1" si="2"/>
        <v>0.62130681790263531</v>
      </c>
      <c r="C26" s="42">
        <f t="shared" ca="1" si="2"/>
        <v>0.55487684790494574</v>
      </c>
      <c r="D26" s="42">
        <f t="shared" ca="1" si="2"/>
        <v>4.602319671762567E-2</v>
      </c>
      <c r="E26" s="42">
        <f t="shared" ca="1" si="2"/>
        <v>0.51925421944357264</v>
      </c>
      <c r="F26" s="42">
        <f t="shared" ca="1" si="2"/>
        <v>0.80591341347991652</v>
      </c>
      <c r="G26" s="42">
        <f t="shared" ca="1" si="2"/>
        <v>0.36016993780475293</v>
      </c>
    </row>
    <row r="27" spans="1:7" ht="15.75" thickBot="1">
      <c r="A27" s="147"/>
      <c r="B27" s="42">
        <f t="shared" ca="1" si="2"/>
        <v>0.42205209416722311</v>
      </c>
      <c r="C27" s="42">
        <f t="shared" ca="1" si="2"/>
        <v>9.0886630504587451E-2</v>
      </c>
      <c r="D27" s="42">
        <f t="shared" ca="1" si="2"/>
        <v>0.28262088755443937</v>
      </c>
      <c r="E27" s="42">
        <f t="shared" ca="1" si="2"/>
        <v>0.72598163660574921</v>
      </c>
      <c r="F27" s="42">
        <f t="shared" ca="1" si="2"/>
        <v>0.28206891090466579</v>
      </c>
      <c r="G27" s="42">
        <f t="shared" ca="1" si="2"/>
        <v>0.30004769121197006</v>
      </c>
    </row>
    <row r="28" spans="1:7" ht="15.75" thickBot="1">
      <c r="A28" s="147"/>
      <c r="B28" s="42">
        <f t="shared" ca="1" si="2"/>
        <v>0.77563429536257711</v>
      </c>
      <c r="C28" s="42">
        <f t="shared" ca="1" si="2"/>
        <v>0.64983544336469923</v>
      </c>
      <c r="D28" s="42">
        <f t="shared" ca="1" si="2"/>
        <v>0.83786645047738961</v>
      </c>
      <c r="E28" s="42">
        <f t="shared" ca="1" si="2"/>
        <v>7.3841750252553462E-2</v>
      </c>
      <c r="F28" s="42">
        <f t="shared" ca="1" si="2"/>
        <v>0.5770089235831044</v>
      </c>
      <c r="G28" s="42">
        <f t="shared" ca="1" si="2"/>
        <v>0.45061877529967675</v>
      </c>
    </row>
    <row r="29" spans="1:7" ht="15.75" thickBot="1">
      <c r="A29" s="147"/>
      <c r="B29" s="42">
        <f t="shared" ca="1" si="2"/>
        <v>0.59013071891915336</v>
      </c>
      <c r="C29" s="42">
        <f t="shared" ca="1" si="2"/>
        <v>0.92700022395351456</v>
      </c>
      <c r="D29" s="42">
        <f t="shared" ca="1" si="2"/>
        <v>0.77211128758571401</v>
      </c>
      <c r="E29" s="42">
        <f t="shared" ca="1" si="2"/>
        <v>0.5722024231565388</v>
      </c>
      <c r="F29" s="42">
        <f t="shared" ca="1" si="2"/>
        <v>0.17239970195046872</v>
      </c>
      <c r="G29" s="42">
        <f t="shared" ca="1" si="2"/>
        <v>1.7970094711824203E-2</v>
      </c>
    </row>
    <row r="30" spans="1:7" ht="15.75" thickBot="1">
      <c r="A30" s="147"/>
      <c r="B30" s="42">
        <f t="shared" ca="1" si="2"/>
        <v>0.2236587941693341</v>
      </c>
      <c r="C30" s="42">
        <f t="shared" ca="1" si="2"/>
        <v>0.81810850276059577</v>
      </c>
      <c r="D30" s="42">
        <f t="shared" ca="1" si="2"/>
        <v>0.27598014178234787</v>
      </c>
      <c r="E30" s="42">
        <f t="shared" ca="1" si="2"/>
        <v>0.40922642340834015</v>
      </c>
      <c r="F30" s="42">
        <f t="shared" ca="1" si="2"/>
        <v>3.8186331327673684E-2</v>
      </c>
      <c r="G30" s="42">
        <f t="shared" ca="1" si="2"/>
        <v>0.25040181274586559</v>
      </c>
    </row>
    <row r="31" spans="1:7" ht="15.75" thickBot="1">
      <c r="A31" s="147"/>
      <c r="B31" s="43">
        <f t="shared" ca="1" si="2"/>
        <v>0.1743787396990033</v>
      </c>
      <c r="C31" s="43">
        <f t="shared" ca="1" si="2"/>
        <v>0.82737257131356534</v>
      </c>
      <c r="D31" s="43">
        <f t="shared" ca="1" si="2"/>
        <v>0.77457375298223907</v>
      </c>
      <c r="E31" s="43">
        <f t="shared" ca="1" si="2"/>
        <v>0.2265997978131018</v>
      </c>
      <c r="F31" s="43">
        <f t="shared" ca="1" si="2"/>
        <v>0.21114746815777163</v>
      </c>
      <c r="G31" s="43">
        <f t="shared" ca="1" si="2"/>
        <v>3.1230827640312153E-2</v>
      </c>
    </row>
    <row r="32" spans="1:7" ht="15.75" thickBot="1">
      <c r="A32" s="147">
        <v>6</v>
      </c>
      <c r="B32" s="42">
        <f t="shared" ca="1" si="2"/>
        <v>0.14614458359338922</v>
      </c>
      <c r="C32" s="42">
        <f t="shared" ca="1" si="2"/>
        <v>0.97211894500154938</v>
      </c>
      <c r="D32" s="42">
        <f t="shared" ca="1" si="2"/>
        <v>0.38918142781363696</v>
      </c>
      <c r="E32" s="42">
        <f t="shared" ca="1" si="2"/>
        <v>0.49131706427303157</v>
      </c>
      <c r="F32" s="42">
        <f t="shared" ca="1" si="2"/>
        <v>0.36439629729435508</v>
      </c>
      <c r="G32" s="42">
        <f t="shared" ca="1" si="2"/>
        <v>0.64675349122957049</v>
      </c>
    </row>
    <row r="33" spans="1:7" ht="15.75" thickBot="1">
      <c r="A33" s="147"/>
      <c r="B33" s="42">
        <f t="shared" ca="1" si="2"/>
        <v>0.67257564763977162</v>
      </c>
      <c r="C33" s="42">
        <f t="shared" ca="1" si="2"/>
        <v>0.64807260970899405</v>
      </c>
      <c r="D33" s="42">
        <f t="shared" ca="1" si="2"/>
        <v>0.7806222482283135</v>
      </c>
      <c r="E33" s="42">
        <f t="shared" ca="1" si="2"/>
        <v>0.47993702333557808</v>
      </c>
      <c r="F33" s="42">
        <f t="shared" ca="1" si="2"/>
        <v>0.76011458076736238</v>
      </c>
      <c r="G33" s="42">
        <f t="shared" ca="1" si="2"/>
        <v>0.88778481196421855</v>
      </c>
    </row>
    <row r="34" spans="1:7" ht="15.75" thickBot="1">
      <c r="A34" s="147"/>
      <c r="B34" s="42">
        <f t="shared" ca="1" si="2"/>
        <v>0.53671194441207881</v>
      </c>
      <c r="C34" s="42">
        <f t="shared" ca="1" si="2"/>
        <v>2.4743743766641235E-2</v>
      </c>
      <c r="D34" s="42">
        <f t="shared" ca="1" si="2"/>
        <v>0.88984199603461278</v>
      </c>
      <c r="E34" s="42">
        <f t="shared" ca="1" si="2"/>
        <v>0.69299498719124797</v>
      </c>
      <c r="F34" s="42">
        <f t="shared" ca="1" si="2"/>
        <v>0.96163285182111058</v>
      </c>
      <c r="G34" s="42">
        <f t="shared" ca="1" si="2"/>
        <v>0.87380781327304702</v>
      </c>
    </row>
    <row r="35" spans="1:7" ht="15.75" thickBot="1">
      <c r="A35" s="147"/>
      <c r="B35" s="42">
        <f t="shared" ref="B35:G37" ca="1" si="3">RAND()</f>
        <v>0.85580247546295518</v>
      </c>
      <c r="C35" s="42">
        <f t="shared" ca="1" si="3"/>
        <v>0.88323844796195095</v>
      </c>
      <c r="D35" s="42">
        <f t="shared" ca="1" si="3"/>
        <v>6.5979902187626172E-2</v>
      </c>
      <c r="E35" s="42">
        <f t="shared" ca="1" si="3"/>
        <v>0.9635893348613106</v>
      </c>
      <c r="F35" s="42">
        <f t="shared" ca="1" si="3"/>
        <v>6.0489320334977892E-2</v>
      </c>
      <c r="G35" s="42">
        <f t="shared" ca="1" si="3"/>
        <v>0.49733449832114085</v>
      </c>
    </row>
    <row r="36" spans="1:7" ht="15.75" thickBot="1">
      <c r="A36" s="147"/>
      <c r="B36" s="42">
        <f t="shared" ca="1" si="3"/>
        <v>0.54150565091247271</v>
      </c>
      <c r="C36" s="42">
        <f t="shared" ca="1" si="3"/>
        <v>6.4335741262408708E-2</v>
      </c>
      <c r="D36" s="42">
        <f t="shared" ca="1" si="3"/>
        <v>0.47855970571704609</v>
      </c>
      <c r="E36" s="42">
        <f t="shared" ca="1" si="3"/>
        <v>0.50517240925898133</v>
      </c>
      <c r="F36" s="42">
        <f t="shared" ca="1" si="3"/>
        <v>0.61543201011654447</v>
      </c>
      <c r="G36" s="42">
        <f t="shared" ca="1" si="3"/>
        <v>0.52683130005174172</v>
      </c>
    </row>
    <row r="37" spans="1:7" ht="15.75" thickBot="1">
      <c r="A37" s="147"/>
      <c r="B37" s="43">
        <f t="shared" ca="1" si="3"/>
        <v>0.69262270188851371</v>
      </c>
      <c r="C37" s="43">
        <f t="shared" ca="1" si="3"/>
        <v>0.55128395291345167</v>
      </c>
      <c r="D37" s="43">
        <f t="shared" ca="1" si="3"/>
        <v>0.55881297003005959</v>
      </c>
      <c r="E37" s="43">
        <f t="shared" ca="1" si="3"/>
        <v>0.79075488938294314</v>
      </c>
      <c r="F37" s="43">
        <f t="shared" ca="1" si="3"/>
        <v>0.81405412557414647</v>
      </c>
      <c r="G37" s="43">
        <f t="shared" ca="1" si="3"/>
        <v>0.6920060969232511</v>
      </c>
    </row>
  </sheetData>
  <sheetProtection algorithmName="SHA-512" hashValue="isBRMfoxwxMKik3jzee43iU81ZSlDJSzyuHaN1+//WgFL93aOUT6WtWtJHmrGJo+/In+BsKkuLNk6TKmehf7Ww==" saltValue="OFzLyK+MZ+e/WQvT3Dgs/g==" spinCount="100000" sheet="1" objects="1" scenarios="1"/>
  <mergeCells count="6">
    <mergeCell ref="A26:A31"/>
    <mergeCell ref="A32:A37"/>
    <mergeCell ref="A2:A7"/>
    <mergeCell ref="A8:A13"/>
    <mergeCell ref="A14:A19"/>
    <mergeCell ref="A20:A25"/>
  </mergeCells>
  <phoneticPr fontId="1" type="noConversion"/>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2">
    <pageSetUpPr fitToPage="1"/>
  </sheetPr>
  <dimension ref="A1:O71"/>
  <sheetViews>
    <sheetView showRowColHeaders="0" defaultGridColor="0" colorId="22" zoomScale="75" workbookViewId="0">
      <selection activeCell="F50" sqref="F50"/>
    </sheetView>
  </sheetViews>
  <sheetFormatPr defaultColWidth="11.44140625" defaultRowHeight="15"/>
  <cols>
    <col min="1" max="1" width="14.88671875" customWidth="1"/>
    <col min="2" max="2" width="11.44140625" customWidth="1"/>
    <col min="3" max="3" width="3.109375" customWidth="1"/>
    <col min="4" max="4" width="9.109375" customWidth="1"/>
    <col min="5" max="5" width="11.44140625" customWidth="1"/>
    <col min="6" max="6" width="13.77734375" customWidth="1"/>
    <col min="7" max="7" width="7.21875" style="1" customWidth="1"/>
    <col min="8" max="8" width="13.77734375" customWidth="1"/>
    <col min="9" max="9" width="4.21875" customWidth="1"/>
    <col min="10" max="10" width="9.33203125" bestFit="1" customWidth="1"/>
    <col min="11" max="11" width="6.6640625" customWidth="1"/>
    <col min="12" max="12" width="13.77734375" customWidth="1"/>
  </cols>
  <sheetData>
    <row r="1" spans="1:15" s="2" customFormat="1" ht="18" customHeight="1">
      <c r="D1" s="138" t="s">
        <v>34</v>
      </c>
      <c r="E1" s="138"/>
      <c r="F1" s="138"/>
      <c r="G1" s="3"/>
    </row>
    <row r="2" spans="1:15" s="2" customFormat="1" ht="18">
      <c r="G2" s="3"/>
      <c r="L2" s="36" t="s">
        <v>45</v>
      </c>
    </row>
    <row r="3" spans="1:15" s="2" customFormat="1" ht="18">
      <c r="D3" s="2" t="s">
        <v>17</v>
      </c>
      <c r="E3" s="3"/>
      <c r="G3" s="3"/>
      <c r="L3" s="36" t="s">
        <v>46</v>
      </c>
    </row>
    <row r="4" spans="1:15" s="2" customFormat="1" ht="18">
      <c r="A4" s="4" t="s">
        <v>23</v>
      </c>
      <c r="B4" s="120" t="s">
        <v>17</v>
      </c>
      <c r="C4" s="120"/>
      <c r="D4" s="120"/>
      <c r="E4" s="120"/>
      <c r="G4" s="4" t="s">
        <v>3</v>
      </c>
      <c r="H4" s="31" t="s">
        <v>17</v>
      </c>
      <c r="I4" s="2" t="s">
        <v>20</v>
      </c>
      <c r="L4" s="36" t="s">
        <v>47</v>
      </c>
    </row>
    <row r="5" spans="1:15" s="2" customFormat="1" ht="18">
      <c r="A5" s="4"/>
      <c r="F5" s="4"/>
      <c r="G5" s="6"/>
      <c r="H5" s="6"/>
      <c r="I5" s="6"/>
      <c r="J5" s="6"/>
      <c r="L5" s="36" t="s">
        <v>48</v>
      </c>
    </row>
    <row r="6" spans="1:15" s="2" customFormat="1" ht="18">
      <c r="A6" s="4" t="s">
        <v>2</v>
      </c>
      <c r="B6" s="120" t="s">
        <v>17</v>
      </c>
      <c r="C6" s="120"/>
      <c r="D6" s="120"/>
      <c r="E6" s="120"/>
      <c r="G6" s="4" t="s">
        <v>18</v>
      </c>
      <c r="H6" s="32"/>
      <c r="I6" s="11" t="s">
        <v>19</v>
      </c>
      <c r="J6" s="143" t="s">
        <v>77</v>
      </c>
      <c r="K6" s="143"/>
      <c r="L6" s="36" t="s">
        <v>49</v>
      </c>
    </row>
    <row r="7" spans="1:15" s="2" customFormat="1" ht="18">
      <c r="A7" s="4"/>
      <c r="B7" s="3"/>
      <c r="C7" s="3"/>
      <c r="L7" s="36" t="s">
        <v>50</v>
      </c>
    </row>
    <row r="8" spans="1:15" s="2" customFormat="1" ht="18">
      <c r="A8" s="4" t="s">
        <v>4</v>
      </c>
      <c r="B8" s="140" t="s">
        <v>17</v>
      </c>
      <c r="C8" s="140"/>
      <c r="G8" s="4" t="s">
        <v>5</v>
      </c>
      <c r="H8" s="33" t="s">
        <v>17</v>
      </c>
      <c r="I8" s="144"/>
      <c r="J8" s="144"/>
      <c r="K8" s="144"/>
      <c r="L8" s="36" t="s">
        <v>51</v>
      </c>
    </row>
    <row r="9" spans="1:15" s="2" customFormat="1" ht="18">
      <c r="A9" s="4"/>
      <c r="B9" s="8"/>
      <c r="C9" s="8"/>
      <c r="F9" s="4"/>
      <c r="G9" s="8"/>
      <c r="H9" s="9"/>
      <c r="I9" s="9"/>
      <c r="J9" s="46" t="s">
        <v>53</v>
      </c>
      <c r="L9" s="145" t="s">
        <v>52</v>
      </c>
      <c r="O9" s="11"/>
    </row>
    <row r="10" spans="1:15" s="2" customFormat="1" ht="18">
      <c r="A10" s="4"/>
      <c r="G10" s="3"/>
      <c r="J10" s="47" t="s">
        <v>54</v>
      </c>
      <c r="L10" s="146"/>
    </row>
    <row r="11" spans="1:15" s="2" customFormat="1" ht="18">
      <c r="A11" s="4" t="s">
        <v>6</v>
      </c>
      <c r="B11" s="137"/>
      <c r="C11" s="137"/>
      <c r="D11" s="115" t="s">
        <v>24</v>
      </c>
      <c r="E11" s="115"/>
      <c r="F11" s="34"/>
      <c r="G11" s="3" t="s">
        <v>7</v>
      </c>
      <c r="H11" s="10" t="str">
        <f>IF($H$6="","",(F11-B11)*100)</f>
        <v/>
      </c>
      <c r="I11" s="11" t="s">
        <v>8</v>
      </c>
      <c r="J11" s="34"/>
      <c r="K11" s="48" t="str">
        <f>IF($H11="","",(ABS($H11/$H$19)*7))</f>
        <v/>
      </c>
      <c r="L11" s="39"/>
    </row>
    <row r="12" spans="1:15" s="2" customFormat="1" ht="15" customHeight="1">
      <c r="A12" s="4"/>
      <c r="E12" s="4"/>
      <c r="F12" s="3"/>
      <c r="G12" s="3"/>
      <c r="H12" s="3"/>
      <c r="I12" s="3"/>
      <c r="J12" s="3"/>
      <c r="K12" s="11"/>
      <c r="L12" s="3"/>
    </row>
    <row r="13" spans="1:15" s="2" customFormat="1" ht="18">
      <c r="A13" s="4" t="s">
        <v>6</v>
      </c>
      <c r="B13" s="137"/>
      <c r="C13" s="137"/>
      <c r="D13" s="115" t="s">
        <v>24</v>
      </c>
      <c r="E13" s="115"/>
      <c r="F13" s="34"/>
      <c r="G13" s="3" t="s">
        <v>7</v>
      </c>
      <c r="H13" s="10" t="str">
        <f>IF($H$6="","",(F13-B13)*100)</f>
        <v/>
      </c>
      <c r="I13" s="11" t="s">
        <v>8</v>
      </c>
      <c r="J13" s="34"/>
      <c r="K13" s="48" t="str">
        <f>IF($H13="","",(ABS($H13/$H$19)*7))</f>
        <v/>
      </c>
      <c r="L13" s="39"/>
    </row>
    <row r="14" spans="1:15" s="2" customFormat="1" ht="15" customHeight="1">
      <c r="A14" s="4"/>
      <c r="B14" s="2" t="s">
        <v>17</v>
      </c>
      <c r="E14" s="4"/>
      <c r="F14" s="3"/>
      <c r="G14" s="3"/>
      <c r="H14" s="3"/>
      <c r="I14" s="3"/>
      <c r="J14" s="3"/>
      <c r="K14" s="11"/>
      <c r="L14" s="3"/>
    </row>
    <row r="15" spans="1:15" s="2" customFormat="1" ht="18">
      <c r="A15" s="4" t="s">
        <v>6</v>
      </c>
      <c r="B15" s="137"/>
      <c r="C15" s="137"/>
      <c r="D15" s="115" t="s">
        <v>24</v>
      </c>
      <c r="E15" s="115"/>
      <c r="F15" s="34"/>
      <c r="G15" s="3" t="s">
        <v>7</v>
      </c>
      <c r="H15" s="10" t="str">
        <f>IF($H$6="","",(F15-B15)*100)</f>
        <v/>
      </c>
      <c r="I15" s="11" t="s">
        <v>8</v>
      </c>
      <c r="J15" s="34"/>
      <c r="K15" s="48" t="str">
        <f>IF($H15="","",(ABS($H15/$H$19)*7))</f>
        <v/>
      </c>
      <c r="L15" s="39"/>
    </row>
    <row r="16" spans="1:15" s="2" customFormat="1" ht="15" customHeight="1">
      <c r="A16" s="4"/>
      <c r="E16" s="4"/>
      <c r="F16" s="3"/>
      <c r="G16" s="3"/>
      <c r="H16" s="3"/>
      <c r="I16" s="3"/>
      <c r="J16" s="3"/>
      <c r="K16" s="11"/>
      <c r="L16" s="3"/>
    </row>
    <row r="17" spans="1:14" s="2" customFormat="1" ht="18">
      <c r="A17" s="4" t="s">
        <v>6</v>
      </c>
      <c r="B17" s="137"/>
      <c r="C17" s="137"/>
      <c r="D17" s="115" t="s">
        <v>24</v>
      </c>
      <c r="E17" s="115"/>
      <c r="F17" s="34"/>
      <c r="G17" s="3" t="s">
        <v>7</v>
      </c>
      <c r="H17" s="10" t="str">
        <f>IF($H$6="","",(F17-B17)*100)</f>
        <v/>
      </c>
      <c r="I17" s="11" t="s">
        <v>8</v>
      </c>
      <c r="J17" s="34"/>
      <c r="K17" s="48" t="str">
        <f>IF($H17="","",(ABS($H17/$H$19)*7))</f>
        <v/>
      </c>
      <c r="L17" s="39"/>
    </row>
    <row r="18" spans="1:14" s="2" customFormat="1" ht="15" customHeight="1">
      <c r="G18" s="3"/>
      <c r="H18" s="3"/>
      <c r="I18" s="3"/>
      <c r="J18" s="3"/>
      <c r="K18" s="11"/>
    </row>
    <row r="19" spans="1:14" s="2" customFormat="1" ht="18">
      <c r="F19" s="4" t="s">
        <v>9</v>
      </c>
      <c r="G19" s="3" t="s">
        <v>7</v>
      </c>
      <c r="H19" s="5" t="str">
        <f>IF(H11="","",SUM(ABS(H11),ABS(H13),ABS(H15),ABS(H17)))</f>
        <v/>
      </c>
      <c r="I19" s="116" t="s">
        <v>27</v>
      </c>
      <c r="J19" s="116"/>
      <c r="K19" s="116"/>
      <c r="L19" s="116"/>
      <c r="N19" s="3"/>
    </row>
    <row r="20" spans="1:14" s="2" customFormat="1" ht="18">
      <c r="G20" s="3"/>
      <c r="H20" s="3"/>
      <c r="I20" s="3"/>
      <c r="J20" s="3"/>
      <c r="K20" s="11"/>
    </row>
    <row r="21" spans="1:14" s="2" customFormat="1" ht="18">
      <c r="B21" s="142" t="str">
        <f>IF(H19="","",SUM(H19))</f>
        <v/>
      </c>
      <c r="C21" s="142">
        <f>SUM(C13,C15,C17,C19)</f>
        <v>0</v>
      </c>
      <c r="D21" s="116" t="s">
        <v>44</v>
      </c>
      <c r="E21" s="116"/>
      <c r="F21" s="116"/>
      <c r="G21" s="3" t="s">
        <v>7</v>
      </c>
      <c r="H21" s="10" t="str">
        <f>IF(H19="","",H19/7)</f>
        <v/>
      </c>
      <c r="I21" s="116" t="s">
        <v>28</v>
      </c>
      <c r="J21" s="116"/>
      <c r="K21" s="116"/>
      <c r="L21" s="116"/>
    </row>
    <row r="22" spans="1:14" s="2" customFormat="1" ht="18">
      <c r="A22" s="18"/>
      <c r="B22" s="18"/>
      <c r="C22" s="18"/>
      <c r="D22" s="18"/>
      <c r="E22" s="18"/>
      <c r="F22" s="18"/>
      <c r="G22" s="5"/>
      <c r="H22" s="18"/>
      <c r="I22" s="18"/>
      <c r="J22" s="18"/>
      <c r="K22" s="18"/>
      <c r="L22" s="18"/>
    </row>
    <row r="23" spans="1:14" s="2" customFormat="1" ht="18">
      <c r="G23" s="3"/>
    </row>
    <row r="24" spans="1:14" s="2" customFormat="1" ht="18.75" thickBot="1">
      <c r="A24" s="25" t="s">
        <v>35</v>
      </c>
      <c r="B24" s="10" t="str">
        <f>IF($L$11="","",IF(L11&gt;=1,H11/L11,""))</f>
        <v/>
      </c>
      <c r="C24" s="3" t="s">
        <v>10</v>
      </c>
      <c r="D24" s="13" t="str">
        <f ca="1">IF(B24="","",RAND())</f>
        <v/>
      </c>
      <c r="E24" s="6" t="s">
        <v>7</v>
      </c>
      <c r="F24" s="10" t="str">
        <f>IF(B24="","",B24*D24)</f>
        <v/>
      </c>
      <c r="G24" s="6" t="s">
        <v>25</v>
      </c>
      <c r="H24" s="37" t="str">
        <f>IF(L11="","",IF(L11&gt;=1,B11,""))</f>
        <v/>
      </c>
      <c r="I24" s="38" t="s">
        <v>7</v>
      </c>
      <c r="J24" s="136" t="s">
        <v>6</v>
      </c>
      <c r="K24" s="114"/>
      <c r="L24" s="28" t="str">
        <f>IF(F24="","",H24+(F24/100))</f>
        <v/>
      </c>
    </row>
    <row r="25" spans="1:14" s="2" customFormat="1" ht="12" customHeight="1" thickTop="1">
      <c r="B25" s="15"/>
      <c r="C25" s="3"/>
      <c r="D25" s="16"/>
      <c r="E25" s="6"/>
      <c r="F25" s="15"/>
      <c r="G25" s="6"/>
      <c r="I25" s="3"/>
      <c r="J25" s="3"/>
      <c r="K25" s="14"/>
    </row>
    <row r="26" spans="1:14" s="2" customFormat="1" ht="18.75" thickBot="1">
      <c r="A26" s="11"/>
      <c r="B26" s="7" t="str">
        <f>IF($H$6="","",$H$6-2)</f>
        <v/>
      </c>
      <c r="C26" s="3" t="s">
        <v>10</v>
      </c>
      <c r="D26" s="13" t="str">
        <f ca="1">IF(B26="","",RAND())</f>
        <v/>
      </c>
      <c r="E26" s="6" t="s">
        <v>33</v>
      </c>
      <c r="F26" s="30" t="str">
        <f>IF(B26="","",1+B26*D26+E26)</f>
        <v/>
      </c>
      <c r="G26" s="27" t="s">
        <v>42</v>
      </c>
      <c r="H26" s="29" t="s">
        <v>43</v>
      </c>
      <c r="I26" s="6"/>
      <c r="J26" s="6"/>
    </row>
    <row r="27" spans="1:14" s="2" customFormat="1" ht="15" customHeight="1" thickTop="1">
      <c r="A27" s="11"/>
      <c r="B27" s="3"/>
      <c r="C27" s="3"/>
      <c r="D27" s="3"/>
      <c r="E27" s="6"/>
      <c r="F27" s="3"/>
      <c r="G27" s="6"/>
      <c r="I27" s="3"/>
      <c r="J27" s="3"/>
      <c r="K27" s="4"/>
    </row>
    <row r="28" spans="1:14" s="2" customFormat="1" ht="18">
      <c r="A28" s="11"/>
      <c r="B28" s="3"/>
      <c r="D28" s="3" t="s">
        <v>17</v>
      </c>
      <c r="E28" s="6"/>
      <c r="F28" s="3"/>
      <c r="G28" s="6"/>
      <c r="I28" s="3"/>
      <c r="J28" s="3"/>
      <c r="K28" s="4"/>
    </row>
    <row r="29" spans="1:14" s="2" customFormat="1" ht="18.75" thickBot="1">
      <c r="A29" s="25" t="s">
        <v>36</v>
      </c>
      <c r="B29" s="10" t="str">
        <f>IF($L$11="","",IF(L11&gt;1,H11/L11,IF(AND(L11=1,L13&gt;=1),H13/L13,"")))</f>
        <v/>
      </c>
      <c r="C29" s="3" t="s">
        <v>10</v>
      </c>
      <c r="D29" s="13" t="str">
        <f ca="1">IF(B29="","",RAND())</f>
        <v/>
      </c>
      <c r="E29" s="6" t="s">
        <v>7</v>
      </c>
      <c r="F29" s="10" t="str">
        <f>IF(B29="","",B29*D29)</f>
        <v/>
      </c>
      <c r="G29" s="6" t="s">
        <v>25</v>
      </c>
      <c r="H29" s="37" t="str">
        <f>IF(L11="","",IF(L11&gt;1,$B$11+(($H$11/L11)/100),IF(L11=1,B13,"")))</f>
        <v/>
      </c>
      <c r="I29" s="38" t="s">
        <v>7</v>
      </c>
      <c r="J29" s="136" t="s">
        <v>6</v>
      </c>
      <c r="K29" s="114"/>
      <c r="L29" s="28" t="str">
        <f>IF(F29="","",H29+(F29/100))</f>
        <v/>
      </c>
    </row>
    <row r="30" spans="1:14" s="2" customFormat="1" ht="9" customHeight="1" thickTop="1">
      <c r="B30" s="15"/>
      <c r="C30" s="3"/>
      <c r="D30" s="17"/>
      <c r="E30" s="6"/>
      <c r="F30" s="12"/>
      <c r="G30" s="6"/>
      <c r="I30" s="3"/>
      <c r="J30" s="3"/>
      <c r="K30" s="14"/>
    </row>
    <row r="31" spans="1:14" s="2" customFormat="1" ht="18.75" thickBot="1">
      <c r="A31" s="11"/>
      <c r="B31" s="7" t="str">
        <f>IF($H$6="","",$H$6-2)</f>
        <v/>
      </c>
      <c r="C31" s="3" t="s">
        <v>10</v>
      </c>
      <c r="D31" s="13" t="str">
        <f ca="1">IF(B31="","",RAND())</f>
        <v/>
      </c>
      <c r="E31" s="6" t="s">
        <v>33</v>
      </c>
      <c r="F31" s="30" t="str">
        <f>IF(B31="","",1+B31*D31+E31)</f>
        <v/>
      </c>
      <c r="G31" s="27" t="s">
        <v>42</v>
      </c>
      <c r="H31" s="29" t="s">
        <v>43</v>
      </c>
      <c r="I31" s="6"/>
      <c r="J31" s="6"/>
    </row>
    <row r="32" spans="1:14" s="2" customFormat="1" ht="15" customHeight="1" thickTop="1">
      <c r="A32" s="11"/>
      <c r="B32" s="3"/>
      <c r="C32" s="3"/>
      <c r="D32" s="3"/>
      <c r="E32" s="6"/>
      <c r="F32" s="3"/>
      <c r="G32" s="6"/>
      <c r="I32" s="3"/>
      <c r="J32" s="3"/>
      <c r="K32" s="4"/>
    </row>
    <row r="33" spans="1:13" s="2" customFormat="1" ht="18">
      <c r="A33" s="11"/>
      <c r="B33" s="3"/>
      <c r="D33" s="3"/>
      <c r="E33" s="6"/>
      <c r="F33" s="3"/>
      <c r="G33" s="6"/>
      <c r="H33" s="2" t="s">
        <v>17</v>
      </c>
      <c r="I33" s="3"/>
      <c r="J33" s="3"/>
      <c r="K33" s="4"/>
    </row>
    <row r="34" spans="1:13" s="2" customFormat="1" ht="18.75" thickBot="1">
      <c r="A34" s="25" t="s">
        <v>37</v>
      </c>
      <c r="B34" s="10" t="str">
        <f>IF($L$11="","",IF($L$11&gt;2,$H$11/$L$11,IF($L$11+$L$13&gt;2,$H$13/$L$13,IF($L$11+$L$13=2,$H$15/$L$15,""))))</f>
        <v/>
      </c>
      <c r="C34" s="3" t="s">
        <v>10</v>
      </c>
      <c r="D34" s="13" t="str">
        <f ca="1">IF(B34="","",RAND())</f>
        <v/>
      </c>
      <c r="E34" s="6" t="s">
        <v>7</v>
      </c>
      <c r="F34" s="10" t="str">
        <f>IF(B34="","",B34*D34)</f>
        <v/>
      </c>
      <c r="G34" s="6" t="s">
        <v>25</v>
      </c>
      <c r="H34" s="37" t="str">
        <f>IF($L$11="","",IF($L$11&gt;2,$B$11+2*(($H$11/$L$11)/100),IF(AND($L$11+$L$13&gt;2,$L$11=1),$H$29+($H$13/$L$13)/100,IF(AND($L$11+$L$13&gt;2,$L$11=2),$B$13,$B$15))))</f>
        <v/>
      </c>
      <c r="I34" s="38" t="s">
        <v>7</v>
      </c>
      <c r="J34" s="136" t="s">
        <v>6</v>
      </c>
      <c r="K34" s="114"/>
      <c r="L34" s="28" t="str">
        <f>IF(F34="","",H34+(F34/100))</f>
        <v/>
      </c>
    </row>
    <row r="35" spans="1:13" s="2" customFormat="1" ht="9" customHeight="1" thickTop="1">
      <c r="B35" s="12"/>
      <c r="C35" s="3"/>
      <c r="D35" s="17"/>
      <c r="E35" s="6"/>
      <c r="F35" s="12"/>
      <c r="G35" s="6"/>
      <c r="I35" s="3"/>
      <c r="J35" s="3"/>
      <c r="K35" s="14"/>
    </row>
    <row r="36" spans="1:13" s="2" customFormat="1" ht="18.75" thickBot="1">
      <c r="A36" s="11"/>
      <c r="B36" s="7" t="str">
        <f>IF($H$6="","",$H$6-2)</f>
        <v/>
      </c>
      <c r="C36" s="3" t="s">
        <v>10</v>
      </c>
      <c r="D36" s="13" t="str">
        <f ca="1">IF(B36="","",RAND())</f>
        <v/>
      </c>
      <c r="E36" s="6" t="s">
        <v>33</v>
      </c>
      <c r="F36" s="30" t="str">
        <f>IF(B36="","",1+B36*D36+E36)</f>
        <v/>
      </c>
      <c r="G36" s="27" t="s">
        <v>42</v>
      </c>
      <c r="H36" s="29" t="s">
        <v>43</v>
      </c>
      <c r="I36" s="6"/>
      <c r="J36" s="6"/>
    </row>
    <row r="37" spans="1:13" s="2" customFormat="1" ht="15" customHeight="1" thickTop="1">
      <c r="A37" s="11"/>
      <c r="B37" s="3"/>
      <c r="C37" s="3"/>
      <c r="D37" s="3"/>
      <c r="E37" s="6"/>
      <c r="F37" s="3"/>
      <c r="G37" s="6"/>
      <c r="H37" s="2" t="s">
        <v>17</v>
      </c>
      <c r="I37" s="3"/>
      <c r="J37" s="3"/>
      <c r="K37" s="4"/>
      <c r="M37" s="11"/>
    </row>
    <row r="38" spans="1:13" s="2" customFormat="1" ht="18">
      <c r="A38" s="11"/>
      <c r="B38" s="3"/>
      <c r="D38" s="3"/>
      <c r="E38" s="6"/>
      <c r="F38" s="3"/>
      <c r="G38" s="6"/>
      <c r="I38" s="3"/>
      <c r="J38" s="3"/>
      <c r="K38" s="4"/>
    </row>
    <row r="39" spans="1:13" s="2" customFormat="1" ht="18.75" thickBot="1">
      <c r="A39" s="25" t="s">
        <v>38</v>
      </c>
      <c r="B39" s="10" t="str">
        <f>IF($L$11="","",IF($L$11&gt;3,$H$11/$L$11,IF($L$11+$L$13&gt;3,$H$13/$L$13,IF($L$11+$L$13=3,$H$15/$L$15,$H$17/$L$17))))</f>
        <v/>
      </c>
      <c r="C39" s="3" t="s">
        <v>10</v>
      </c>
      <c r="D39" s="13" t="str">
        <f ca="1">IF(B39="","",RAND())</f>
        <v/>
      </c>
      <c r="E39" s="6" t="s">
        <v>7</v>
      </c>
      <c r="F39" s="10" t="str">
        <f>IF(B39="","",B39*D39)</f>
        <v/>
      </c>
      <c r="G39" s="6" t="s">
        <v>25</v>
      </c>
      <c r="H39" s="37" t="str">
        <f>IF($L$11="","",IF($L$11&gt;3,$B$11+3*(($H$11/$L$11)/100),IF(AND($L$11+$L$13&gt;3,$L$11&lt;=2),$H$34+($H$13/$L$13)/100,IF(AND($L$11+$L$13&gt;3,$L$11=3),$B$13,IF($L$11+$L$13+$L$15&gt;3,$B$15,$B$17)))))</f>
        <v/>
      </c>
      <c r="I39" s="38" t="s">
        <v>7</v>
      </c>
      <c r="J39" s="136" t="s">
        <v>6</v>
      </c>
      <c r="K39" s="114"/>
      <c r="L39" s="28" t="str">
        <f>IF(F39="","",H39+(F39/100))</f>
        <v/>
      </c>
    </row>
    <row r="40" spans="1:13" s="2" customFormat="1" ht="9" customHeight="1" thickTop="1">
      <c r="B40" s="12"/>
      <c r="C40" s="3"/>
      <c r="D40" s="17"/>
      <c r="E40" s="6"/>
      <c r="F40" s="12"/>
      <c r="G40" s="6"/>
      <c r="I40" s="3"/>
      <c r="J40" s="3"/>
      <c r="K40" s="14"/>
    </row>
    <row r="41" spans="1:13" s="2" customFormat="1" ht="18.75" thickBot="1">
      <c r="A41" s="11"/>
      <c r="B41" s="7" t="str">
        <f>IF($H$6="","",$H$6-2)</f>
        <v/>
      </c>
      <c r="C41" s="3" t="s">
        <v>10</v>
      </c>
      <c r="D41" s="13" t="str">
        <f ca="1">IF(B41="","",RAND())</f>
        <v/>
      </c>
      <c r="E41" s="6" t="s">
        <v>33</v>
      </c>
      <c r="F41" s="30" t="str">
        <f>IF(B41="","",1+B41*D41+E41)</f>
        <v/>
      </c>
      <c r="G41" s="27" t="s">
        <v>42</v>
      </c>
      <c r="H41" s="29" t="s">
        <v>43</v>
      </c>
      <c r="I41" s="6"/>
      <c r="J41" s="6"/>
    </row>
    <row r="42" spans="1:13" s="2" customFormat="1" ht="15" customHeight="1" thickTop="1">
      <c r="A42" s="11"/>
      <c r="B42" s="3"/>
      <c r="C42" s="3"/>
      <c r="D42" s="3"/>
      <c r="E42" s="6"/>
      <c r="F42" s="3"/>
      <c r="G42" s="6"/>
      <c r="H42" s="2" t="s">
        <v>17</v>
      </c>
      <c r="I42" s="3"/>
      <c r="J42" s="3"/>
      <c r="K42" s="4"/>
    </row>
    <row r="43" spans="1:13" s="2" customFormat="1" ht="18">
      <c r="A43" s="11"/>
      <c r="B43" s="3"/>
      <c r="D43" s="3" t="s">
        <v>17</v>
      </c>
      <c r="E43" s="6"/>
      <c r="F43" s="3"/>
      <c r="G43" s="6"/>
      <c r="I43" s="3"/>
      <c r="J43" s="3"/>
      <c r="K43" s="4"/>
    </row>
    <row r="44" spans="1:13" s="2" customFormat="1" ht="18.75" thickBot="1">
      <c r="A44" s="25" t="s">
        <v>39</v>
      </c>
      <c r="B44" s="10" t="str">
        <f>IF($L$11="","",IF($L$11&gt;4,$H$11/$L$11,IF($L$11+$L$13&gt;4,$H$13/$L$13,IF($L$11+$L$13=4,$H$15/$L$15,IF($L$11+$L$13+$L$15&gt;4,$H$15/$L$15,$H$17/$L$17)))))</f>
        <v/>
      </c>
      <c r="C44" s="3" t="s">
        <v>10</v>
      </c>
      <c r="D44" s="13" t="str">
        <f ca="1">IF(B44="","",RAND())</f>
        <v/>
      </c>
      <c r="E44" s="6" t="s">
        <v>7</v>
      </c>
      <c r="F44" s="10" t="str">
        <f>IF(B44="","",B44*D44)</f>
        <v/>
      </c>
      <c r="G44" s="6" t="s">
        <v>25</v>
      </c>
      <c r="H44" s="37" t="str">
        <f>IF($L$11="","",IF($L$11&gt;4,$B$11+4*(($H$11/$L$11)/100),IF(AND($L$11+$L$13&gt;4,$L$11&lt;=3),$H$39+($H$13/$L$13)/100,IF(AND($L$11+$L$13&gt;4,$L$11=4),$B$13,IF($L$11+$L$13=4,$B$15,IF($L$11+$L$13+$L$15&gt;4,$H$39+($H$15/$L$15)/100,IF($L$11+$L$13+$L$15&lt;4,$H$39+($H$17/$L$17)/100,$B$17)))))))</f>
        <v/>
      </c>
      <c r="I44" s="38" t="s">
        <v>7</v>
      </c>
      <c r="J44" s="136" t="s">
        <v>6</v>
      </c>
      <c r="K44" s="114"/>
      <c r="L44" s="28" t="str">
        <f>IF(F44="","",H44+(F44/100))</f>
        <v/>
      </c>
    </row>
    <row r="45" spans="1:13" s="2" customFormat="1" ht="9" customHeight="1" thickTop="1">
      <c r="B45" s="12"/>
      <c r="C45" s="3"/>
      <c r="D45" s="17"/>
      <c r="E45" s="6"/>
      <c r="F45" s="12"/>
      <c r="G45" s="6"/>
      <c r="I45" s="3"/>
      <c r="J45" s="3"/>
      <c r="K45" s="14"/>
    </row>
    <row r="46" spans="1:13" s="2" customFormat="1" ht="18.75" thickBot="1">
      <c r="A46" s="11"/>
      <c r="B46" s="7" t="str">
        <f>IF($H$6="","",$H$6-2)</f>
        <v/>
      </c>
      <c r="C46" s="3" t="s">
        <v>10</v>
      </c>
      <c r="D46" s="13" t="str">
        <f ca="1">IF(B46="","",RAND())</f>
        <v/>
      </c>
      <c r="E46" s="6" t="s">
        <v>33</v>
      </c>
      <c r="F46" s="30" t="str">
        <f>IF(B46="","",1+B46*D46+E46)</f>
        <v/>
      </c>
      <c r="G46" s="27" t="s">
        <v>42</v>
      </c>
      <c r="H46" s="29" t="s">
        <v>43</v>
      </c>
      <c r="I46" s="6"/>
      <c r="J46" s="6"/>
    </row>
    <row r="47" spans="1:13" s="2" customFormat="1" ht="15" customHeight="1" thickTop="1">
      <c r="A47" s="11"/>
      <c r="B47" s="3"/>
      <c r="C47" s="3"/>
      <c r="D47" s="3"/>
      <c r="E47" s="6"/>
      <c r="F47" s="3"/>
      <c r="G47" s="6"/>
      <c r="I47" s="3"/>
      <c r="J47" s="3"/>
      <c r="K47" s="4"/>
    </row>
    <row r="48" spans="1:13" s="2" customFormat="1" ht="18">
      <c r="A48" s="11"/>
      <c r="B48" s="3"/>
      <c r="D48" s="3"/>
      <c r="E48" s="6"/>
      <c r="F48" s="3"/>
      <c r="G48" s="6"/>
      <c r="I48" s="3"/>
      <c r="J48" s="3"/>
      <c r="K48" s="4"/>
    </row>
    <row r="49" spans="1:12" s="2" customFormat="1" ht="18.75" thickBot="1">
      <c r="A49" s="25" t="s">
        <v>40</v>
      </c>
      <c r="B49" s="10" t="str">
        <f>IF($L$11="","",IF($L$11&gt;5,$H$11/$L$11,IF($L$11+$L$13&gt;5,$H$13/$L$13,IF($L$11+$L$13=5,$H$15/$L$15,IF($L$11+$L$13+$L$15&gt;5,$H$15/$L$15,$H$17/$L$17)))))</f>
        <v/>
      </c>
      <c r="C49" s="3" t="s">
        <v>10</v>
      </c>
      <c r="D49" s="13" t="str">
        <f ca="1">IF(B49="","",RAND())</f>
        <v/>
      </c>
      <c r="E49" s="6" t="s">
        <v>7</v>
      </c>
      <c r="F49" s="10" t="str">
        <f>IF(B49="","",B49*D49)</f>
        <v/>
      </c>
      <c r="G49" s="6" t="s">
        <v>25</v>
      </c>
      <c r="H49" s="37" t="str">
        <f>IF($L$11="","",IF($L$11&gt;5,$B$11+5*(($H$11/$L$11)/100),IF(AND($L$11+$L$13&gt;5,$L$11&lt;=4),$H$44+($H$13/$L$13)/100,IF(AND($L$11+$L$13&gt;5,$L$11=5),$B$13,IF($L$11+$L$13=5,$B$15,IF($L$11+$L$13+$L$15&gt;5,$H$44+($H$15/$L$15)/100,IF($L$11+$L$13+$L$15&lt;=4,$H$44+($H$17/$L$17)/100,$B$17)))))))</f>
        <v/>
      </c>
      <c r="I49" s="38" t="s">
        <v>7</v>
      </c>
      <c r="J49" s="136" t="s">
        <v>6</v>
      </c>
      <c r="K49" s="114"/>
      <c r="L49" s="28" t="str">
        <f>IF(F49="","",H49+(F49/100))</f>
        <v/>
      </c>
    </row>
    <row r="50" spans="1:12" s="2" customFormat="1" ht="9" customHeight="1" thickTop="1">
      <c r="B50" s="12"/>
      <c r="C50" s="3"/>
      <c r="D50" s="17"/>
      <c r="E50" s="6"/>
      <c r="F50" s="12"/>
      <c r="G50" s="6"/>
      <c r="I50" s="3"/>
      <c r="J50" s="3"/>
      <c r="K50" s="14"/>
    </row>
    <row r="51" spans="1:12" s="2" customFormat="1" ht="18.75" thickBot="1">
      <c r="A51" s="11"/>
      <c r="B51" s="7" t="str">
        <f>IF($H$6="","",$H$6-2)</f>
        <v/>
      </c>
      <c r="C51" s="3" t="s">
        <v>10</v>
      </c>
      <c r="D51" s="13" t="str">
        <f ca="1">IF(B51="","",RAND())</f>
        <v/>
      </c>
      <c r="E51" s="6" t="s">
        <v>33</v>
      </c>
      <c r="F51" s="30" t="str">
        <f>IF(B51="","",1+B51*D51+E51)</f>
        <v/>
      </c>
      <c r="G51" s="27" t="s">
        <v>42</v>
      </c>
      <c r="H51" s="29" t="s">
        <v>43</v>
      </c>
      <c r="I51" s="6"/>
      <c r="J51" s="6"/>
    </row>
    <row r="52" spans="1:12" s="2" customFormat="1" ht="15" customHeight="1" thickTop="1">
      <c r="A52" s="11"/>
      <c r="B52" s="3"/>
      <c r="C52" s="3"/>
      <c r="D52" s="3"/>
      <c r="E52" s="6"/>
      <c r="F52" s="3"/>
      <c r="G52" s="6"/>
      <c r="I52" s="3"/>
      <c r="J52" s="3"/>
      <c r="K52" s="4"/>
    </row>
    <row r="53" spans="1:12" s="2" customFormat="1" ht="18">
      <c r="A53" s="11"/>
      <c r="B53" s="3"/>
      <c r="D53" s="3"/>
      <c r="E53" s="6"/>
      <c r="F53" s="3"/>
      <c r="G53" s="6"/>
      <c r="I53" s="3"/>
      <c r="J53" s="3"/>
      <c r="K53" s="4"/>
    </row>
    <row r="54" spans="1:12" s="2" customFormat="1" ht="18.75" thickBot="1">
      <c r="A54" s="25" t="s">
        <v>41</v>
      </c>
      <c r="B54" s="10" t="str">
        <f>IF($L$11="","",IF($L$11&gt;6,$H$11/$L$11,IF($L$11+$L$13&gt;6,$H$13/$L$13,IF($L$11+$L$13=6,$H$15/$L$15,IF($L$11+$L$13+$L$15&gt;6,$H$15/$L$15,$H$17/$L$17)))))</f>
        <v/>
      </c>
      <c r="C54" s="3" t="s">
        <v>10</v>
      </c>
      <c r="D54" s="13" t="str">
        <f ca="1">IF(B54="","",RAND())</f>
        <v/>
      </c>
      <c r="E54" s="6" t="s">
        <v>7</v>
      </c>
      <c r="F54" s="10" t="str">
        <f>IF(B54="","",B54*D54)</f>
        <v/>
      </c>
      <c r="G54" s="6" t="s">
        <v>25</v>
      </c>
      <c r="H54" s="37" t="str">
        <f>IF($L$11="","",IF($L$11&gt;6,$B$11+6*(($H$11/$L$11)/100),IF(AND($L$11+$L$13&gt;6,$L$11&lt;=5),$H$49+($H$13/$L$13)/100,IF(AND($L$11+$L$13&gt;6,$L$11=6),$B$13,IF($L$11+$L$13=6,$B$15,IF($L$11+$L$13+$L$15&gt;6,$H$49+($H$15/$L$15)/100,IF($L$11+$L$13+$L$15&lt;=5,$H$49+($H$17/$L$17)/100,$B$17)))))))</f>
        <v/>
      </c>
      <c r="I54" s="38" t="s">
        <v>7</v>
      </c>
      <c r="J54" s="136" t="s">
        <v>6</v>
      </c>
      <c r="K54" s="114"/>
      <c r="L54" s="28" t="str">
        <f>IF(F54="","",H54+(F54/100))</f>
        <v/>
      </c>
    </row>
    <row r="55" spans="1:12" s="2" customFormat="1" ht="9" customHeight="1" thickTop="1">
      <c r="B55" s="12"/>
      <c r="C55" s="3"/>
      <c r="D55" s="17"/>
      <c r="E55" s="6"/>
      <c r="F55" s="15"/>
      <c r="G55" s="6"/>
      <c r="K55" s="14"/>
    </row>
    <row r="56" spans="1:12" s="2" customFormat="1" ht="18.75" thickBot="1">
      <c r="B56" s="7" t="str">
        <f>IF($H$6="","",$H$6-2)</f>
        <v/>
      </c>
      <c r="C56" s="3" t="s">
        <v>10</v>
      </c>
      <c r="D56" s="13" t="str">
        <f ca="1">IF(B56="","",RAND())</f>
        <v/>
      </c>
      <c r="E56" s="6" t="s">
        <v>33</v>
      </c>
      <c r="F56" s="30" t="str">
        <f>IF(B56="","",1+B56*D56+E56)</f>
        <v/>
      </c>
      <c r="G56" s="27" t="s">
        <v>42</v>
      </c>
      <c r="H56" s="29" t="s">
        <v>43</v>
      </c>
      <c r="I56" s="26"/>
      <c r="J56" s="26"/>
    </row>
    <row r="57" spans="1:12" s="2" customFormat="1" ht="15.75" customHeight="1" thickTop="1">
      <c r="G57" s="3"/>
    </row>
    <row r="58" spans="1:12" s="2" customFormat="1" ht="3" customHeight="1">
      <c r="A58" s="20"/>
      <c r="B58" s="20"/>
      <c r="C58" s="20"/>
      <c r="D58" s="20"/>
      <c r="E58" s="20"/>
      <c r="F58" s="20"/>
      <c r="G58" s="21"/>
      <c r="H58" s="20"/>
      <c r="I58" s="20"/>
      <c r="J58" s="20"/>
      <c r="K58" s="20"/>
      <c r="L58" s="20"/>
    </row>
    <row r="59" spans="1:12" s="2" customFormat="1" ht="18">
      <c r="G59" s="3"/>
    </row>
    <row r="60" spans="1:12" s="2" customFormat="1" ht="18">
      <c r="C60" s="19" t="s">
        <v>26</v>
      </c>
      <c r="D60" s="3"/>
      <c r="E60" s="3"/>
      <c r="G60" s="3"/>
      <c r="K60" s="19" t="s">
        <v>29</v>
      </c>
    </row>
    <row r="61" spans="1:12" s="2" customFormat="1" ht="11.25" customHeight="1">
      <c r="E61" s="4"/>
      <c r="G61" s="3"/>
    </row>
    <row r="62" spans="1:12" s="2" customFormat="1" ht="18">
      <c r="A62" s="4" t="s">
        <v>11</v>
      </c>
      <c r="B62" s="35" t="s">
        <v>17</v>
      </c>
      <c r="C62" s="22" t="s">
        <v>17</v>
      </c>
      <c r="D62" s="3" t="s">
        <v>12</v>
      </c>
      <c r="E62" s="35" t="s">
        <v>17</v>
      </c>
      <c r="G62" s="115" t="s">
        <v>30</v>
      </c>
      <c r="H62" s="115"/>
      <c r="I62" s="115"/>
      <c r="J62" s="4"/>
      <c r="K62" s="148"/>
      <c r="L62" s="148"/>
    </row>
    <row r="63" spans="1:12" s="2" customFormat="1" ht="9" customHeight="1">
      <c r="B63" s="3"/>
      <c r="E63" s="3" t="s">
        <v>17</v>
      </c>
      <c r="G63" s="3"/>
    </row>
    <row r="64" spans="1:12" s="2" customFormat="1" ht="18">
      <c r="A64" s="4" t="s">
        <v>13</v>
      </c>
      <c r="B64" s="35" t="s">
        <v>17</v>
      </c>
      <c r="D64" s="3" t="s">
        <v>14</v>
      </c>
      <c r="E64" s="35" t="s">
        <v>17</v>
      </c>
      <c r="G64" s="110" t="s">
        <v>21</v>
      </c>
      <c r="H64" s="110"/>
      <c r="I64" s="110"/>
      <c r="J64" s="40"/>
      <c r="K64" s="148" t="s">
        <v>17</v>
      </c>
      <c r="L64" s="148"/>
    </row>
    <row r="65" spans="1:13" s="2" customFormat="1" ht="9" customHeight="1">
      <c r="B65" s="3"/>
      <c r="E65" s="3" t="s">
        <v>17</v>
      </c>
      <c r="G65" s="3"/>
    </row>
    <row r="66" spans="1:13" s="2" customFormat="1" ht="18.75" thickBot="1">
      <c r="A66" s="4" t="s">
        <v>15</v>
      </c>
      <c r="B66" s="35" t="s">
        <v>17</v>
      </c>
      <c r="D66" s="3" t="s">
        <v>16</v>
      </c>
      <c r="E66" s="35" t="s">
        <v>17</v>
      </c>
      <c r="G66" s="110" t="s">
        <v>22</v>
      </c>
      <c r="H66" s="110"/>
      <c r="I66" s="110"/>
      <c r="J66" s="40"/>
      <c r="K66" s="150" t="str">
        <f>IF(K62="","",K62-K64)</f>
        <v/>
      </c>
      <c r="L66" s="150"/>
    </row>
    <row r="67" spans="1:13" s="2" customFormat="1" ht="8.25" customHeight="1" thickTop="1">
      <c r="G67" s="3"/>
    </row>
    <row r="68" spans="1:13" ht="18">
      <c r="A68" s="23"/>
      <c r="B68" s="23"/>
      <c r="C68" s="23"/>
      <c r="D68" s="23"/>
      <c r="E68" s="23"/>
      <c r="F68" s="23"/>
      <c r="G68" s="110" t="s">
        <v>31</v>
      </c>
      <c r="H68" s="110"/>
      <c r="I68" s="110"/>
      <c r="J68" s="40"/>
      <c r="K68" s="148" t="s">
        <v>17</v>
      </c>
      <c r="L68" s="148"/>
      <c r="M68" s="23"/>
    </row>
    <row r="69" spans="1:13" ht="9" customHeight="1">
      <c r="A69" s="23"/>
      <c r="B69" s="23"/>
      <c r="C69" s="23"/>
      <c r="D69" s="23"/>
      <c r="E69" s="23"/>
      <c r="F69" s="23"/>
      <c r="G69" s="24"/>
      <c r="H69" s="2"/>
      <c r="I69" s="2"/>
      <c r="J69" s="2"/>
      <c r="K69" s="2"/>
      <c r="L69" s="2"/>
      <c r="M69" s="23"/>
    </row>
    <row r="70" spans="1:13" ht="18.75" thickBot="1">
      <c r="A70" s="23"/>
      <c r="B70" s="23"/>
      <c r="C70" s="23"/>
      <c r="D70" s="23"/>
      <c r="E70" s="23"/>
      <c r="F70" s="110" t="s">
        <v>32</v>
      </c>
      <c r="G70" s="110"/>
      <c r="H70" s="110"/>
      <c r="I70" s="110"/>
      <c r="J70" s="40"/>
      <c r="K70" s="149" t="str">
        <f>IF(K66="","",K66+K68)</f>
        <v/>
      </c>
      <c r="L70" s="149"/>
      <c r="M70" s="23"/>
    </row>
    <row r="71" spans="1:13" ht="15.75" thickTop="1"/>
  </sheetData>
  <sheetProtection algorithmName="SHA-512" hashValue="xjTCHiRkE1A5rNHOXAy2InlP6cEuq4JYafbKiZWAQPeWgTU6jud/+2ca+kf2GNKLljWrk8q4uphdSqw0W0qx0A==" saltValue="pF1pwmJHM/TqMW2Pg2DhTQ==" spinCount="100000" sheet="1" objects="1" scenarios="1"/>
  <mergeCells count="36">
    <mergeCell ref="D1:F1"/>
    <mergeCell ref="D21:F21"/>
    <mergeCell ref="B4:E4"/>
    <mergeCell ref="B6:E6"/>
    <mergeCell ref="B8:C8"/>
    <mergeCell ref="D11:E11"/>
    <mergeCell ref="D13:E13"/>
    <mergeCell ref="D15:E15"/>
    <mergeCell ref="D17:E17"/>
    <mergeCell ref="B21:C21"/>
    <mergeCell ref="B11:C11"/>
    <mergeCell ref="B13:C13"/>
    <mergeCell ref="B15:C15"/>
    <mergeCell ref="B17:C17"/>
    <mergeCell ref="J6:K6"/>
    <mergeCell ref="I19:L19"/>
    <mergeCell ref="I8:K8"/>
    <mergeCell ref="L9:L10"/>
    <mergeCell ref="J54:K54"/>
    <mergeCell ref="J29:K29"/>
    <mergeCell ref="G68:I68"/>
    <mergeCell ref="F70:I70"/>
    <mergeCell ref="I21:L21"/>
    <mergeCell ref="G62:I62"/>
    <mergeCell ref="G64:I64"/>
    <mergeCell ref="G66:I66"/>
    <mergeCell ref="K68:L68"/>
    <mergeCell ref="K70:L70"/>
    <mergeCell ref="K64:L64"/>
    <mergeCell ref="K66:L66"/>
    <mergeCell ref="K62:L62"/>
    <mergeCell ref="J24:K24"/>
    <mergeCell ref="J34:K34"/>
    <mergeCell ref="J39:K39"/>
    <mergeCell ref="J44:K44"/>
    <mergeCell ref="J49:K49"/>
  </mergeCells>
  <phoneticPr fontId="1" type="noConversion"/>
  <pageMargins left="1.1000000000000001" right="0.5" top="0.6" bottom="0.5" header="0" footer="0"/>
  <pageSetup scale="6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3">
    <pageSetUpPr fitToPage="1"/>
  </sheetPr>
  <dimension ref="A1:O74"/>
  <sheetViews>
    <sheetView showRowColHeaders="0" defaultGridColor="0" colorId="22" zoomScale="75" workbookViewId="0">
      <selection activeCell="B4" sqref="B4:E4"/>
    </sheetView>
  </sheetViews>
  <sheetFormatPr defaultColWidth="11.44140625" defaultRowHeight="15"/>
  <cols>
    <col min="1" max="1" width="14.88671875" customWidth="1"/>
    <col min="2" max="2" width="11.44140625" customWidth="1"/>
    <col min="3" max="3" width="3.109375" customWidth="1"/>
    <col min="4" max="4" width="9.109375" customWidth="1"/>
    <col min="5" max="5" width="11.44140625" customWidth="1"/>
    <col min="6" max="6" width="13.77734375" customWidth="1"/>
    <col min="7" max="7" width="7.21875" style="1" customWidth="1"/>
    <col min="8" max="8" width="13.77734375" customWidth="1"/>
    <col min="9" max="9" width="4.21875" customWidth="1"/>
    <col min="10" max="10" width="9.33203125" bestFit="1" customWidth="1"/>
    <col min="11" max="11" width="6.6640625" customWidth="1"/>
    <col min="12" max="12" width="13.77734375" customWidth="1"/>
  </cols>
  <sheetData>
    <row r="1" spans="1:15" s="2" customFormat="1" ht="18" customHeight="1">
      <c r="D1" s="138" t="s">
        <v>56</v>
      </c>
      <c r="E1" s="138"/>
      <c r="F1" s="138"/>
      <c r="G1" s="3"/>
    </row>
    <row r="2" spans="1:15" s="2" customFormat="1" ht="18">
      <c r="D2" s="122" t="s">
        <v>57</v>
      </c>
      <c r="E2" s="114"/>
      <c r="F2" s="114"/>
      <c r="G2" s="3"/>
      <c r="L2" s="36" t="s">
        <v>45</v>
      </c>
    </row>
    <row r="3" spans="1:15" s="2" customFormat="1" ht="18">
      <c r="D3" s="2" t="s">
        <v>17</v>
      </c>
      <c r="E3" s="3"/>
      <c r="G3" s="3"/>
      <c r="L3" s="36" t="s">
        <v>46</v>
      </c>
    </row>
    <row r="4" spans="1:15" s="2" customFormat="1" ht="18">
      <c r="A4" s="4" t="s">
        <v>23</v>
      </c>
      <c r="B4" s="120" t="s">
        <v>17</v>
      </c>
      <c r="C4" s="120"/>
      <c r="D4" s="120"/>
      <c r="E4" s="120"/>
      <c r="G4" s="4" t="s">
        <v>3</v>
      </c>
      <c r="H4" s="31" t="s">
        <v>17</v>
      </c>
      <c r="I4" s="2" t="s">
        <v>20</v>
      </c>
      <c r="L4" s="36" t="s">
        <v>47</v>
      </c>
    </row>
    <row r="5" spans="1:15" s="2" customFormat="1" ht="18">
      <c r="A5" s="4"/>
      <c r="F5" s="4"/>
      <c r="G5" s="6"/>
      <c r="H5" s="6"/>
      <c r="I5" s="6"/>
      <c r="J5" s="6"/>
      <c r="L5" s="36" t="s">
        <v>48</v>
      </c>
    </row>
    <row r="6" spans="1:15" s="2" customFormat="1" ht="18">
      <c r="A6" s="4" t="s">
        <v>2</v>
      </c>
      <c r="B6" s="120" t="s">
        <v>17</v>
      </c>
      <c r="C6" s="120"/>
      <c r="D6" s="120"/>
      <c r="E6" s="120"/>
      <c r="G6" s="4" t="s">
        <v>18</v>
      </c>
      <c r="H6" s="32"/>
      <c r="I6" s="11" t="s">
        <v>19</v>
      </c>
      <c r="J6" s="143" t="s">
        <v>77</v>
      </c>
      <c r="K6" s="143"/>
      <c r="L6" s="36" t="s">
        <v>49</v>
      </c>
    </row>
    <row r="7" spans="1:15" s="2" customFormat="1" ht="18">
      <c r="A7" s="4"/>
      <c r="B7" s="3"/>
      <c r="C7" s="3"/>
      <c r="L7" s="36" t="s">
        <v>50</v>
      </c>
    </row>
    <row r="8" spans="1:15" s="2" customFormat="1" ht="18">
      <c r="A8" s="4" t="s">
        <v>4</v>
      </c>
      <c r="B8" s="140" t="s">
        <v>17</v>
      </c>
      <c r="C8" s="140"/>
      <c r="G8" s="4" t="s">
        <v>5</v>
      </c>
      <c r="H8" s="33" t="s">
        <v>17</v>
      </c>
      <c r="I8" s="144"/>
      <c r="J8" s="144"/>
      <c r="K8" s="144"/>
      <c r="L8" s="36" t="s">
        <v>51</v>
      </c>
    </row>
    <row r="9" spans="1:15" s="2" customFormat="1" ht="18">
      <c r="A9" s="4"/>
      <c r="B9" s="8"/>
      <c r="C9" s="8"/>
      <c r="F9" s="4"/>
      <c r="G9" s="8"/>
      <c r="H9" s="9"/>
      <c r="I9" s="9"/>
      <c r="J9" s="46" t="s">
        <v>53</v>
      </c>
      <c r="L9" s="145" t="s">
        <v>52</v>
      </c>
      <c r="O9" s="11"/>
    </row>
    <row r="10" spans="1:15" s="2" customFormat="1" ht="18">
      <c r="A10" s="4"/>
      <c r="G10" s="3"/>
      <c r="J10" s="47" t="s">
        <v>54</v>
      </c>
      <c r="L10" s="146"/>
    </row>
    <row r="11" spans="1:15" s="2" customFormat="1" ht="18">
      <c r="A11" s="4" t="s">
        <v>6</v>
      </c>
      <c r="B11" s="137"/>
      <c r="C11" s="137"/>
      <c r="D11" s="115" t="s">
        <v>24</v>
      </c>
      <c r="E11" s="115"/>
      <c r="F11" s="34"/>
      <c r="G11" s="3" t="s">
        <v>7</v>
      </c>
      <c r="H11" s="10" t="str">
        <f>IF($H$6="","",(F11-B11)*100)</f>
        <v/>
      </c>
      <c r="I11" s="11" t="s">
        <v>8</v>
      </c>
      <c r="J11" s="34"/>
      <c r="K11" s="48" t="str">
        <f>IF($H11="","",(ABS($H11/$H$19)*8))</f>
        <v/>
      </c>
      <c r="L11" s="39"/>
    </row>
    <row r="12" spans="1:15" s="2" customFormat="1" ht="15" customHeight="1">
      <c r="A12" s="4"/>
      <c r="E12" s="4"/>
      <c r="F12" s="3"/>
      <c r="G12" s="3"/>
      <c r="H12" s="3"/>
      <c r="I12" s="3"/>
      <c r="J12" s="3"/>
      <c r="K12" s="11"/>
      <c r="L12" s="3"/>
    </row>
    <row r="13" spans="1:15" s="2" customFormat="1" ht="18">
      <c r="A13" s="4" t="s">
        <v>6</v>
      </c>
      <c r="B13" s="137"/>
      <c r="C13" s="137"/>
      <c r="D13" s="115" t="s">
        <v>24</v>
      </c>
      <c r="E13" s="115"/>
      <c r="F13" s="34"/>
      <c r="G13" s="3" t="s">
        <v>7</v>
      </c>
      <c r="H13" s="10" t="str">
        <f>IF($H$6="","",(F13-B13)*100)</f>
        <v/>
      </c>
      <c r="I13" s="11" t="s">
        <v>8</v>
      </c>
      <c r="J13" s="34"/>
      <c r="K13" s="48" t="str">
        <f>IF($H13="","",(ABS($H13/$H$19)*8))</f>
        <v/>
      </c>
      <c r="L13" s="39"/>
    </row>
    <row r="14" spans="1:15" s="2" customFormat="1" ht="15" customHeight="1">
      <c r="A14" s="4"/>
      <c r="B14" s="2" t="s">
        <v>17</v>
      </c>
      <c r="E14" s="4"/>
      <c r="F14" s="3"/>
      <c r="G14" s="3"/>
      <c r="H14" s="3"/>
      <c r="I14" s="3"/>
      <c r="J14" s="3"/>
      <c r="K14" s="11"/>
      <c r="L14" s="3"/>
    </row>
    <row r="15" spans="1:15" s="2" customFormat="1" ht="18">
      <c r="A15" s="4" t="s">
        <v>6</v>
      </c>
      <c r="B15" s="137"/>
      <c r="C15" s="137"/>
      <c r="D15" s="115" t="s">
        <v>24</v>
      </c>
      <c r="E15" s="115"/>
      <c r="F15" s="34"/>
      <c r="G15" s="3" t="s">
        <v>7</v>
      </c>
      <c r="H15" s="10" t="str">
        <f>IF($H$6="","",(F15-B15)*100)</f>
        <v/>
      </c>
      <c r="I15" s="11" t="s">
        <v>8</v>
      </c>
      <c r="J15" s="34"/>
      <c r="K15" s="48" t="str">
        <f>IF($H15="","",(ABS($H15/$H$19)*8))</f>
        <v/>
      </c>
      <c r="L15" s="39"/>
    </row>
    <row r="16" spans="1:15" s="2" customFormat="1" ht="15" customHeight="1">
      <c r="A16" s="4"/>
      <c r="E16" s="4"/>
      <c r="F16" s="3"/>
      <c r="G16" s="3"/>
      <c r="H16" s="3"/>
      <c r="I16" s="3"/>
      <c r="J16" s="3"/>
      <c r="K16" s="11"/>
      <c r="L16" s="3"/>
    </row>
    <row r="17" spans="1:14" s="2" customFormat="1" ht="18">
      <c r="A17" s="4" t="s">
        <v>6</v>
      </c>
      <c r="B17" s="137"/>
      <c r="C17" s="137"/>
      <c r="D17" s="115" t="s">
        <v>24</v>
      </c>
      <c r="E17" s="115"/>
      <c r="F17" s="34"/>
      <c r="G17" s="3" t="s">
        <v>7</v>
      </c>
      <c r="H17" s="10" t="str">
        <f>IF($H$6="","",(F17-B17)*100)</f>
        <v/>
      </c>
      <c r="I17" s="11" t="s">
        <v>8</v>
      </c>
      <c r="J17" s="34"/>
      <c r="K17" s="48" t="str">
        <f>IF($H17="","",(ABS($H17/$H$19)*8))</f>
        <v/>
      </c>
      <c r="L17" s="39"/>
    </row>
    <row r="18" spans="1:14" s="2" customFormat="1" ht="15" customHeight="1">
      <c r="G18" s="3"/>
      <c r="H18" s="3"/>
      <c r="I18" s="3"/>
      <c r="J18" s="3"/>
      <c r="K18" s="11"/>
    </row>
    <row r="19" spans="1:14" s="2" customFormat="1" ht="18">
      <c r="F19" s="4" t="s">
        <v>9</v>
      </c>
      <c r="G19" s="3" t="s">
        <v>7</v>
      </c>
      <c r="H19" s="5" t="str">
        <f>IF(H11="","",SUM(ABS(H11),ABS(H13),ABS(H15),ABS(H17)))</f>
        <v/>
      </c>
      <c r="I19" s="116" t="s">
        <v>27</v>
      </c>
      <c r="J19" s="116"/>
      <c r="K19" s="116"/>
      <c r="L19" s="116"/>
      <c r="N19" s="3"/>
    </row>
    <row r="20" spans="1:14" s="2" customFormat="1" ht="18">
      <c r="G20" s="3"/>
      <c r="H20" s="3"/>
      <c r="I20" s="3"/>
      <c r="J20" s="3"/>
      <c r="K20" s="11"/>
    </row>
    <row r="21" spans="1:14" s="2" customFormat="1" ht="18">
      <c r="B21" s="142" t="str">
        <f>IF(H19="","",SUM(H19))</f>
        <v/>
      </c>
      <c r="C21" s="142">
        <f>SUM(C13,C15,C17,C19)</f>
        <v>0</v>
      </c>
      <c r="D21" s="116" t="s">
        <v>55</v>
      </c>
      <c r="E21" s="116"/>
      <c r="F21" s="116"/>
      <c r="G21" s="3" t="s">
        <v>7</v>
      </c>
      <c r="H21" s="10" t="str">
        <f>IF(H19="","",H19/8)</f>
        <v/>
      </c>
      <c r="I21" s="116" t="s">
        <v>28</v>
      </c>
      <c r="J21" s="116"/>
      <c r="K21" s="116"/>
      <c r="L21" s="116"/>
    </row>
    <row r="22" spans="1:14" s="2" customFormat="1" ht="18">
      <c r="A22" s="18"/>
      <c r="B22" s="18"/>
      <c r="C22" s="18"/>
      <c r="D22" s="18"/>
      <c r="E22" s="18"/>
      <c r="F22" s="18"/>
      <c r="G22" s="5"/>
      <c r="H22" s="18"/>
      <c r="I22" s="18"/>
      <c r="J22" s="18"/>
      <c r="K22" s="18"/>
      <c r="L22" s="18"/>
    </row>
    <row r="23" spans="1:14" s="2" customFormat="1" ht="18">
      <c r="G23" s="3"/>
    </row>
    <row r="24" spans="1:14" s="2" customFormat="1" ht="18.75" thickBot="1">
      <c r="A24" s="25" t="s">
        <v>35</v>
      </c>
      <c r="B24" s="10" t="str">
        <f>IF($L$11="","",IF(L11&gt;=1,H11/L11,""))</f>
        <v/>
      </c>
      <c r="C24" s="3" t="s">
        <v>10</v>
      </c>
      <c r="D24" s="13" t="str">
        <f ca="1">IF(B24="","",RAND())</f>
        <v/>
      </c>
      <c r="E24" s="6" t="s">
        <v>7</v>
      </c>
      <c r="F24" s="10" t="str">
        <f>IF(B24="","",B24*D24)</f>
        <v/>
      </c>
      <c r="G24" s="6" t="s">
        <v>25</v>
      </c>
      <c r="H24" s="37" t="str">
        <f>IF(L11="","",IF(L11&gt;=1,B11,""))</f>
        <v/>
      </c>
      <c r="I24" s="38" t="s">
        <v>7</v>
      </c>
      <c r="J24" s="136" t="s">
        <v>6</v>
      </c>
      <c r="K24" s="114"/>
      <c r="L24" s="28" t="str">
        <f>IF(F24="","",H24+(F24/100))</f>
        <v/>
      </c>
    </row>
    <row r="25" spans="1:14" s="2" customFormat="1" ht="12" customHeight="1" thickTop="1">
      <c r="B25" s="15"/>
      <c r="C25" s="3"/>
      <c r="D25" s="16"/>
      <c r="E25" s="6"/>
      <c r="F25" s="15"/>
      <c r="G25" s="6"/>
      <c r="I25" s="3"/>
      <c r="J25" s="3"/>
      <c r="K25" s="14"/>
    </row>
    <row r="26" spans="1:14" s="2" customFormat="1" ht="18.75" thickBot="1">
      <c r="A26" s="11"/>
      <c r="B26" s="7" t="str">
        <f>IF($H$6="","",$H$6-2)</f>
        <v/>
      </c>
      <c r="C26" s="3" t="s">
        <v>10</v>
      </c>
      <c r="D26" s="13" t="str">
        <f ca="1">IF(B26="","",RAND())</f>
        <v/>
      </c>
      <c r="E26" s="6" t="s">
        <v>33</v>
      </c>
      <c r="F26" s="30" t="str">
        <f>IF(B26="","",1+B26*D26+E26)</f>
        <v/>
      </c>
      <c r="G26" s="27" t="s">
        <v>42</v>
      </c>
      <c r="H26" s="29" t="s">
        <v>43</v>
      </c>
      <c r="I26" s="6"/>
      <c r="J26" s="6"/>
    </row>
    <row r="27" spans="1:14" s="2" customFormat="1" ht="15" customHeight="1" thickTop="1">
      <c r="A27" s="11"/>
      <c r="B27" s="3"/>
      <c r="C27" s="3"/>
      <c r="D27" s="3"/>
      <c r="E27" s="6"/>
      <c r="F27" s="3"/>
      <c r="G27" s="6"/>
      <c r="I27" s="3"/>
      <c r="J27" s="3"/>
      <c r="K27" s="4"/>
    </row>
    <row r="28" spans="1:14" s="2" customFormat="1" ht="18">
      <c r="A28" s="11"/>
      <c r="B28" s="3"/>
      <c r="D28" s="3" t="s">
        <v>17</v>
      </c>
      <c r="E28" s="6"/>
      <c r="F28" s="3"/>
      <c r="G28" s="6"/>
      <c r="I28" s="3"/>
      <c r="J28" s="3"/>
      <c r="K28" s="4"/>
    </row>
    <row r="29" spans="1:14" s="2" customFormat="1" ht="18.75" thickBot="1">
      <c r="A29" s="25" t="s">
        <v>36</v>
      </c>
      <c r="B29" s="10" t="str">
        <f>IF($L$11="","",IF(L11&gt;1,H11/L11,IF(AND(L11=1,L13&gt;=1),H13/L13,"")))</f>
        <v/>
      </c>
      <c r="C29" s="3" t="s">
        <v>10</v>
      </c>
      <c r="D29" s="13" t="str">
        <f ca="1">IF(B29="","",RAND())</f>
        <v/>
      </c>
      <c r="E29" s="6" t="s">
        <v>7</v>
      </c>
      <c r="F29" s="10" t="str">
        <f>IF(B29="","",B29*D29)</f>
        <v/>
      </c>
      <c r="G29" s="6" t="s">
        <v>25</v>
      </c>
      <c r="H29" s="37" t="str">
        <f>IF(L11="","",IF(L11&gt;1,$B$11+(($H$11/L11)/100),IF(L11=1,B13,"")))</f>
        <v/>
      </c>
      <c r="I29" s="38" t="s">
        <v>7</v>
      </c>
      <c r="J29" s="136" t="s">
        <v>6</v>
      </c>
      <c r="K29" s="114"/>
      <c r="L29" s="28" t="str">
        <f>IF(F29="","",H29+(F29/100))</f>
        <v/>
      </c>
    </row>
    <row r="30" spans="1:14" s="2" customFormat="1" ht="9" customHeight="1" thickTop="1">
      <c r="B30" s="15"/>
      <c r="C30" s="3"/>
      <c r="D30" s="17"/>
      <c r="E30" s="6"/>
      <c r="F30" s="12"/>
      <c r="G30" s="6"/>
      <c r="I30" s="3"/>
      <c r="J30" s="3"/>
      <c r="K30" s="14"/>
    </row>
    <row r="31" spans="1:14" s="2" customFormat="1" ht="18.75" thickBot="1">
      <c r="A31" s="11"/>
      <c r="B31" s="7" t="str">
        <f>IF($H$6="","",$H$6-2)</f>
        <v/>
      </c>
      <c r="C31" s="3" t="s">
        <v>10</v>
      </c>
      <c r="D31" s="13" t="str">
        <f ca="1">IF(B31="","",RAND())</f>
        <v/>
      </c>
      <c r="E31" s="6" t="s">
        <v>33</v>
      </c>
      <c r="F31" s="30" t="str">
        <f>IF(B31="","",1+B31*D31+E31)</f>
        <v/>
      </c>
      <c r="G31" s="27" t="s">
        <v>42</v>
      </c>
      <c r="H31" s="29" t="s">
        <v>43</v>
      </c>
      <c r="I31" s="6"/>
      <c r="J31" s="6"/>
    </row>
    <row r="32" spans="1:14" s="2" customFormat="1" ht="15" customHeight="1" thickTop="1">
      <c r="A32" s="11"/>
      <c r="B32" s="3"/>
      <c r="C32" s="3"/>
      <c r="D32" s="3"/>
      <c r="E32" s="6"/>
      <c r="F32" s="3"/>
      <c r="G32" s="6"/>
      <c r="I32" s="3"/>
      <c r="J32" s="3"/>
      <c r="K32" s="4"/>
    </row>
    <row r="33" spans="1:13" s="2" customFormat="1" ht="18">
      <c r="A33" s="11"/>
      <c r="B33" s="3"/>
      <c r="D33" s="3"/>
      <c r="E33" s="6"/>
      <c r="F33" s="3"/>
      <c r="G33" s="6"/>
      <c r="H33" s="2" t="s">
        <v>17</v>
      </c>
      <c r="I33" s="3"/>
      <c r="J33" s="3"/>
      <c r="K33" s="4"/>
    </row>
    <row r="34" spans="1:13" s="2" customFormat="1" ht="18.75" thickBot="1">
      <c r="A34" s="25" t="s">
        <v>37</v>
      </c>
      <c r="B34" s="10" t="str">
        <f>IF($L$11="","",IF($L$11&gt;2,$H$11/$L$11,IF($L$11+$L$13&gt;2,$H$13/$L$13,IF($L$11+$L$13=2,$H$15/$L$15,""))))</f>
        <v/>
      </c>
      <c r="C34" s="3" t="s">
        <v>10</v>
      </c>
      <c r="D34" s="13" t="str">
        <f ca="1">IF(B34="","",RAND())</f>
        <v/>
      </c>
      <c r="E34" s="6" t="s">
        <v>7</v>
      </c>
      <c r="F34" s="10" t="str">
        <f>IF(B34="","",B34*D34)</f>
        <v/>
      </c>
      <c r="G34" s="6" t="s">
        <v>25</v>
      </c>
      <c r="H34" s="37" t="str">
        <f>IF($L$11="","",IF($L$11&gt;2,$B$11+2*(($H$11/$L$11)/100),IF(AND($L$11+$L$13&gt;2,$L$11=1),$H$29+($H$13/$L$13)/100,IF(AND($L$11+$L$13&gt;2,$L$11=2),$B$13,$B$15))))</f>
        <v/>
      </c>
      <c r="I34" s="38" t="s">
        <v>7</v>
      </c>
      <c r="J34" s="136" t="s">
        <v>6</v>
      </c>
      <c r="K34" s="114"/>
      <c r="L34" s="28" t="str">
        <f>IF(F34="","",H34+(F34/100))</f>
        <v/>
      </c>
    </row>
    <row r="35" spans="1:13" s="2" customFormat="1" ht="9" customHeight="1" thickTop="1">
      <c r="B35" s="12"/>
      <c r="C35" s="3"/>
      <c r="D35" s="17"/>
      <c r="E35" s="6"/>
      <c r="F35" s="12"/>
      <c r="G35" s="6"/>
      <c r="I35" s="3"/>
      <c r="J35" s="3"/>
      <c r="K35" s="14"/>
    </row>
    <row r="36" spans="1:13" s="2" customFormat="1" ht="18.75" thickBot="1">
      <c r="A36" s="11"/>
      <c r="B36" s="7" t="str">
        <f>IF($H$6="","",$H$6-2)</f>
        <v/>
      </c>
      <c r="C36" s="3" t="s">
        <v>10</v>
      </c>
      <c r="D36" s="13" t="str">
        <f ca="1">IF(B36="","",RAND())</f>
        <v/>
      </c>
      <c r="E36" s="6" t="s">
        <v>33</v>
      </c>
      <c r="F36" s="30" t="str">
        <f>IF(B36="","",1+B36*D36+E36)</f>
        <v/>
      </c>
      <c r="G36" s="27" t="s">
        <v>42</v>
      </c>
      <c r="H36" s="29" t="s">
        <v>43</v>
      </c>
      <c r="I36" s="6"/>
      <c r="J36" s="6"/>
    </row>
    <row r="37" spans="1:13" s="2" customFormat="1" ht="15" customHeight="1" thickTop="1">
      <c r="A37" s="11"/>
      <c r="B37" s="3"/>
      <c r="C37" s="3"/>
      <c r="D37" s="3"/>
      <c r="E37" s="6"/>
      <c r="F37" s="3"/>
      <c r="G37" s="6"/>
      <c r="H37" s="2" t="s">
        <v>17</v>
      </c>
      <c r="I37" s="3"/>
      <c r="J37" s="3"/>
      <c r="K37" s="4"/>
      <c r="M37" s="11"/>
    </row>
    <row r="38" spans="1:13" s="2" customFormat="1" ht="18">
      <c r="A38" s="11"/>
      <c r="B38" s="3"/>
      <c r="D38" s="3"/>
      <c r="E38" s="6"/>
      <c r="F38" s="3"/>
      <c r="G38" s="6"/>
      <c r="I38" s="3"/>
      <c r="J38" s="3"/>
      <c r="K38" s="4"/>
    </row>
    <row r="39" spans="1:13" s="2" customFormat="1" ht="18.75" thickBot="1">
      <c r="A39" s="25" t="s">
        <v>38</v>
      </c>
      <c r="B39" s="10" t="str">
        <f>IF($L$11="","",IF($L$11&gt;3,$H$11/$L$11,IF($L$11+$L$13&gt;3,$H$13/$L$13,IF($L$11+$L$13=3,$H$15/$L$15,$H$17/$L$17))))</f>
        <v/>
      </c>
      <c r="C39" s="3" t="s">
        <v>10</v>
      </c>
      <c r="D39" s="13" t="str">
        <f ca="1">IF(B39="","",RAND())</f>
        <v/>
      </c>
      <c r="E39" s="6" t="s">
        <v>7</v>
      </c>
      <c r="F39" s="10" t="str">
        <f>IF(B39="","",B39*D39)</f>
        <v/>
      </c>
      <c r="G39" s="6" t="s">
        <v>25</v>
      </c>
      <c r="H39" s="37" t="str">
        <f>IF($L$11="","",IF($L$11&gt;3,$B$11+3*(($H$11/$L$11)/100),IF(AND($L$11+$L$13&gt;3,$L$11&lt;=2),$H$34+($H$13/$L$13)/100,IF(AND($L$11+$L$13&gt;3,$L$11=3),$B$13,IF($L$11+$L$13+$L$15&gt;3,$B$15,$B$17)))))</f>
        <v/>
      </c>
      <c r="I39" s="38" t="s">
        <v>7</v>
      </c>
      <c r="J39" s="136" t="s">
        <v>6</v>
      </c>
      <c r="K39" s="114"/>
      <c r="L39" s="28" t="str">
        <f>IF(F39="","",H39+(F39/100))</f>
        <v/>
      </c>
    </row>
    <row r="40" spans="1:13" s="2" customFormat="1" ht="9" customHeight="1" thickTop="1">
      <c r="B40" s="12"/>
      <c r="C40" s="3"/>
      <c r="D40" s="17"/>
      <c r="E40" s="6"/>
      <c r="F40" s="12"/>
      <c r="G40" s="6"/>
      <c r="I40" s="3"/>
      <c r="J40" s="3"/>
      <c r="K40" s="14"/>
    </row>
    <row r="41" spans="1:13" s="2" customFormat="1" ht="18.75" thickBot="1">
      <c r="A41" s="11"/>
      <c r="B41" s="7" t="str">
        <f>IF($H$6="","",$H$6-2)</f>
        <v/>
      </c>
      <c r="C41" s="3" t="s">
        <v>10</v>
      </c>
      <c r="D41" s="13" t="str">
        <f ca="1">IF(B41="","",RAND())</f>
        <v/>
      </c>
      <c r="E41" s="6" t="s">
        <v>33</v>
      </c>
      <c r="F41" s="30" t="str">
        <f>IF(B41="","",1+B41*D41+E41)</f>
        <v/>
      </c>
      <c r="G41" s="27" t="s">
        <v>42</v>
      </c>
      <c r="H41" s="29" t="s">
        <v>43</v>
      </c>
      <c r="I41" s="6"/>
      <c r="J41" s="6"/>
    </row>
    <row r="42" spans="1:13" s="2" customFormat="1" ht="15" customHeight="1" thickTop="1">
      <c r="A42" s="11"/>
      <c r="B42" s="3"/>
      <c r="C42" s="3"/>
      <c r="D42" s="3"/>
      <c r="E42" s="6"/>
      <c r="F42" s="3"/>
      <c r="G42" s="6"/>
      <c r="H42" s="2" t="s">
        <v>17</v>
      </c>
      <c r="I42" s="3"/>
      <c r="J42" s="3"/>
      <c r="K42" s="4"/>
    </row>
    <row r="43" spans="1:13" s="2" customFormat="1" ht="18">
      <c r="A43" s="11"/>
      <c r="B43" s="3"/>
      <c r="D43" s="3" t="s">
        <v>17</v>
      </c>
      <c r="E43" s="6"/>
      <c r="F43" s="3"/>
      <c r="G43" s="6"/>
      <c r="I43" s="3"/>
      <c r="J43" s="3"/>
      <c r="K43" s="4"/>
    </row>
    <row r="44" spans="1:13" s="2" customFormat="1" ht="18.75" thickBot="1">
      <c r="A44" s="25" t="s">
        <v>39</v>
      </c>
      <c r="B44" s="10" t="str">
        <f>IF($L$11="","",IF($L$11&gt;4,$H$11/$L$11,IF($L$11+$L$13&gt;4,$H$13/$L$13,IF($L$11+$L$13=4,$H$15/$L$15,IF($L$11+$L$13+$L$15&gt;4,$H$15/$L$15,$H$17/$L$17)))))</f>
        <v/>
      </c>
      <c r="C44" s="3" t="s">
        <v>10</v>
      </c>
      <c r="D44" s="13" t="str">
        <f ca="1">IF(B44="","",RAND())</f>
        <v/>
      </c>
      <c r="E44" s="6" t="s">
        <v>7</v>
      </c>
      <c r="F44" s="10" t="str">
        <f>IF(B44="","",B44*D44)</f>
        <v/>
      </c>
      <c r="G44" s="6" t="s">
        <v>25</v>
      </c>
      <c r="H44" s="37" t="str">
        <f>IF($L$11="","",IF($L$11&gt;4,$B$11+4*(($H$11/$L$11)/100),IF(AND($L$11+$L$13&gt;4,$L$11&lt;=3),$H$39+($H$13/$L$13)/100,IF(AND($L$11+$L$13&gt;4,$L$11=4),$B$13,IF($L$11+$L$13=4,$B$15,IF($L$11+$L$13+$L$15&gt;4,$H$39+($H$15/$L$15)/100,IF($L$11+$L$13+$L$15&lt;4,$H$39+($H$17/$L$17)/100,$B$17)))))))</f>
        <v/>
      </c>
      <c r="I44" s="38" t="s">
        <v>7</v>
      </c>
      <c r="J44" s="136" t="s">
        <v>6</v>
      </c>
      <c r="K44" s="114"/>
      <c r="L44" s="28" t="str">
        <f>IF(F44="","",H44+(F44/100))</f>
        <v/>
      </c>
    </row>
    <row r="45" spans="1:13" s="2" customFormat="1" ht="9" customHeight="1" thickTop="1">
      <c r="B45" s="12"/>
      <c r="C45" s="3"/>
      <c r="D45" s="17"/>
      <c r="E45" s="6"/>
      <c r="F45" s="12"/>
      <c r="G45" s="6"/>
      <c r="I45" s="3"/>
      <c r="J45" s="3"/>
      <c r="K45" s="14"/>
    </row>
    <row r="46" spans="1:13" s="2" customFormat="1" ht="18.75" thickBot="1">
      <c r="A46" s="11"/>
      <c r="B46" s="7" t="str">
        <f>IF($H$6="","",$H$6-2)</f>
        <v/>
      </c>
      <c r="C46" s="3" t="s">
        <v>10</v>
      </c>
      <c r="D46" s="13" t="str">
        <f ca="1">IF(B46="","",RAND())</f>
        <v/>
      </c>
      <c r="E46" s="6" t="s">
        <v>33</v>
      </c>
      <c r="F46" s="30" t="str">
        <f>IF(B46="","",1+B46*D46+E46)</f>
        <v/>
      </c>
      <c r="G46" s="27" t="s">
        <v>42</v>
      </c>
      <c r="H46" s="29" t="s">
        <v>43</v>
      </c>
      <c r="I46" s="6"/>
      <c r="J46" s="6"/>
    </row>
    <row r="47" spans="1:13" s="2" customFormat="1" ht="15" customHeight="1" thickTop="1">
      <c r="A47" s="11"/>
      <c r="B47" s="3"/>
      <c r="C47" s="3"/>
      <c r="D47" s="3"/>
      <c r="E47" s="6"/>
      <c r="F47" s="3"/>
      <c r="G47" s="6"/>
      <c r="I47" s="3"/>
      <c r="J47" s="3"/>
      <c r="K47" s="4"/>
    </row>
    <row r="48" spans="1:13" s="2" customFormat="1" ht="18">
      <c r="A48" s="11"/>
      <c r="B48" s="3"/>
      <c r="D48" s="3"/>
      <c r="E48" s="6"/>
      <c r="F48" s="3"/>
      <c r="G48" s="6"/>
      <c r="I48" s="3"/>
      <c r="J48" s="3"/>
      <c r="K48" s="4"/>
    </row>
    <row r="49" spans="1:12" s="2" customFormat="1" ht="18.75" thickBot="1">
      <c r="A49" s="25" t="s">
        <v>40</v>
      </c>
      <c r="B49" s="10" t="str">
        <f>IF($L$11="","",IF($L$11&gt;5,$H$11/$L$11,IF($L$11+$L$13&gt;5,$H$13/$L$13,IF($L$11+$L$13=5,$H$15/$L$15,IF($L$11+$L$13+$L$15&gt;5,$H$15/$L$15,$H$17/$L$17)))))</f>
        <v/>
      </c>
      <c r="C49" s="3" t="s">
        <v>10</v>
      </c>
      <c r="D49" s="13" t="str">
        <f ca="1">IF(B49="","",RAND())</f>
        <v/>
      </c>
      <c r="E49" s="6" t="s">
        <v>7</v>
      </c>
      <c r="F49" s="10" t="str">
        <f>IF(B49="","",B49*D49)</f>
        <v/>
      </c>
      <c r="G49" s="6" t="s">
        <v>25</v>
      </c>
      <c r="H49" s="37" t="str">
        <f>IF($L$11="","",IF($L$11&gt;5,$B$11+5*(($H$11/$L$11)/100),IF(AND($L$11+$L$13&gt;5,$L$11&lt;=4),$H$44+($H$13/$L$13)/100,IF(AND($L$11+$L$13&gt;5,$L$11=5),$B$13,IF($L$11+$L$13=5,$B$15,IF($L$11+$L$13+$L$15&gt;5,$H$44+($H$15/$L$15)/100,IF($L$11+$L$13+$L$15&lt;=4,$H$44+($H$17/$L$17)/100,$B$17)))))))</f>
        <v/>
      </c>
      <c r="I49" s="38" t="s">
        <v>7</v>
      </c>
      <c r="J49" s="136" t="s">
        <v>6</v>
      </c>
      <c r="K49" s="114"/>
      <c r="L49" s="28" t="str">
        <f>IF(F49="","",H49+(F49/100))</f>
        <v/>
      </c>
    </row>
    <row r="50" spans="1:12" s="2" customFormat="1" ht="9" customHeight="1" thickTop="1">
      <c r="B50" s="12"/>
      <c r="C50" s="3"/>
      <c r="D50" s="17"/>
      <c r="E50" s="6"/>
      <c r="F50" s="12"/>
      <c r="G50" s="6"/>
      <c r="I50" s="3"/>
      <c r="J50" s="3"/>
      <c r="K50" s="14"/>
    </row>
    <row r="51" spans="1:12" s="2" customFormat="1" ht="18.75" thickBot="1">
      <c r="A51" s="11"/>
      <c r="B51" s="7" t="str">
        <f>IF($H$6="","",$H$6-2)</f>
        <v/>
      </c>
      <c r="C51" s="3" t="s">
        <v>10</v>
      </c>
      <c r="D51" s="13" t="str">
        <f ca="1">IF(B51="","",RAND())</f>
        <v/>
      </c>
      <c r="E51" s="6" t="s">
        <v>33</v>
      </c>
      <c r="F51" s="30" t="str">
        <f>IF(B51="","",1+B51*D51+E51)</f>
        <v/>
      </c>
      <c r="G51" s="27" t="s">
        <v>42</v>
      </c>
      <c r="H51" s="29" t="s">
        <v>43</v>
      </c>
      <c r="I51" s="6"/>
      <c r="J51" s="6"/>
    </row>
    <row r="52" spans="1:12" s="2" customFormat="1" ht="15" customHeight="1" thickTop="1">
      <c r="A52" s="11"/>
      <c r="B52" s="3"/>
      <c r="C52" s="3"/>
      <c r="D52" s="3"/>
      <c r="E52" s="6"/>
      <c r="F52" s="3"/>
      <c r="G52" s="6"/>
      <c r="I52" s="3"/>
      <c r="J52" s="3"/>
      <c r="K52" s="4"/>
    </row>
    <row r="53" spans="1:12" s="2" customFormat="1" ht="18">
      <c r="A53" s="11"/>
      <c r="B53" s="3"/>
      <c r="D53" s="3"/>
      <c r="E53" s="6"/>
      <c r="F53" s="3"/>
      <c r="G53" s="6"/>
      <c r="I53" s="3"/>
      <c r="J53" s="3"/>
      <c r="K53" s="4"/>
    </row>
    <row r="54" spans="1:12" s="2" customFormat="1" ht="18.75" thickBot="1">
      <c r="A54" s="25" t="s">
        <v>41</v>
      </c>
      <c r="B54" s="10" t="str">
        <f>IF($L$11="","",IF($L$11&gt;6,$H$11/$L$11,IF($L$11+$L$13&gt;6,$H$13/$L$13,IF($L$11+$L$13=6,$H$15/$L$15,IF($L$11+$L$13+$L$15&gt;6,$H$15/$L$15,$H$17/$L$17)))))</f>
        <v/>
      </c>
      <c r="C54" s="3" t="s">
        <v>10</v>
      </c>
      <c r="D54" s="13" t="str">
        <f ca="1">IF(B54="","",RAND())</f>
        <v/>
      </c>
      <c r="E54" s="6" t="s">
        <v>7</v>
      </c>
      <c r="F54" s="10" t="str">
        <f>IF(B54="","",B54*D54)</f>
        <v/>
      </c>
      <c r="G54" s="6" t="s">
        <v>25</v>
      </c>
      <c r="H54" s="37" t="str">
        <f>IF($L$11="","",IF($L$11&gt;6,$B$11+6*(($H$11/$L$11)/100),IF(AND($L$11+$L$13&gt;6,$L$11&lt;=5),$H$49+($H$13/$L$13)/100,IF(AND($L$11+$L$13&gt;6,$L$11=6),$B$13,IF($L$11+$L$13=6,$B$15,IF($L$11+$L$13+$L$15&gt;6,$H$49+($H$15/$L$15)/100,IF($L$11+$L$13+$L$15&lt;=5,$H$49+($H$17/$L$17)/100,$B$17)))))))</f>
        <v/>
      </c>
      <c r="I54" s="38" t="s">
        <v>7</v>
      </c>
      <c r="J54" s="136" t="s">
        <v>6</v>
      </c>
      <c r="K54" s="114"/>
      <c r="L54" s="28" t="str">
        <f>IF(F54="","",H54+(F54/100))</f>
        <v/>
      </c>
    </row>
    <row r="55" spans="1:12" s="2" customFormat="1" ht="9" customHeight="1" thickTop="1">
      <c r="B55" s="12"/>
      <c r="C55" s="3"/>
      <c r="D55" s="17"/>
      <c r="E55" s="6"/>
      <c r="F55" s="15"/>
      <c r="G55" s="6"/>
      <c r="K55" s="14"/>
    </row>
    <row r="56" spans="1:12" s="2" customFormat="1" ht="18.75" thickBot="1">
      <c r="B56" s="7" t="str">
        <f>IF($H$6="","",$H$6-2)</f>
        <v/>
      </c>
      <c r="C56" s="3" t="s">
        <v>10</v>
      </c>
      <c r="D56" s="13" t="str">
        <f ca="1">IF(B56="","",RAND())</f>
        <v/>
      </c>
      <c r="E56" s="6" t="s">
        <v>33</v>
      </c>
      <c r="F56" s="30" t="str">
        <f>IF(B56="","",1+B56*D56+E56)</f>
        <v/>
      </c>
      <c r="G56" s="27" t="s">
        <v>42</v>
      </c>
      <c r="H56" s="29" t="s">
        <v>43</v>
      </c>
      <c r="I56" s="26"/>
      <c r="J56" s="26"/>
    </row>
    <row r="57" spans="1:12" s="2" customFormat="1" ht="15.75" customHeight="1" thickTop="1">
      <c r="G57" s="3"/>
    </row>
    <row r="58" spans="1:12" s="2" customFormat="1" ht="18.75" customHeight="1" thickBot="1">
      <c r="A58" s="25" t="s">
        <v>63</v>
      </c>
      <c r="B58" s="10" t="str">
        <f>IF($L$11="","",IF($L$11&gt;7,$H$11/$L$11,IF($L$11+$L$13&gt;7,$H$13/$L$13,IF($L$11+$L$13=7,$H$15/$L$15,IF($L$11+$L$13+$L$15&gt;7,$H$15/$L$15,$H$17/$L$17)))))</f>
        <v/>
      </c>
      <c r="C58" s="3" t="s">
        <v>10</v>
      </c>
      <c r="D58" s="13" t="str">
        <f ca="1">IF(B58="","",RAND())</f>
        <v/>
      </c>
      <c r="E58" s="6" t="s">
        <v>7</v>
      </c>
      <c r="F58" s="10" t="str">
        <f>IF(B58="","",B58*D58)</f>
        <v/>
      </c>
      <c r="G58" s="6" t="s">
        <v>25</v>
      </c>
      <c r="H58" s="37" t="str">
        <f>IF($L$11="","",IF($L$11&gt;7,$B$11+7*(($H$11/$L$11)/100),IF(AND($L$11+$L$13&gt;7,$L$11&lt;=6),$H$54+($H$13/$L$13)/100,IF(AND($L$11+$L$13&gt;7,$L$11=7),$B$13,IF($L$11+$L$13=7,$B$15,IF($L$11+$L$13+$L$15&gt;7,$H$49+($H$15/$L$15)/100,IF($L$11+$L$13+$L$15&lt;=6,$H$49+($H$17/$L$17)/100,$B$17)))))))</f>
        <v/>
      </c>
      <c r="I58" s="38" t="s">
        <v>7</v>
      </c>
      <c r="J58" s="136" t="s">
        <v>6</v>
      </c>
      <c r="K58" s="114"/>
      <c r="L58" s="28" t="str">
        <f>IF(F58="","",H58+(F58/100))</f>
        <v/>
      </c>
    </row>
    <row r="59" spans="1:12" s="2" customFormat="1" ht="9" customHeight="1" thickTop="1">
      <c r="G59" s="3"/>
    </row>
    <row r="60" spans="1:12" s="2" customFormat="1" ht="18.75" customHeight="1" thickBot="1">
      <c r="B60" s="7" t="str">
        <f>IF($H$6="","",$H$6-2)</f>
        <v/>
      </c>
      <c r="C60" s="3" t="s">
        <v>10</v>
      </c>
      <c r="D60" s="13" t="str">
        <f ca="1">IF(B60="","",RAND())</f>
        <v/>
      </c>
      <c r="E60" s="6" t="s">
        <v>33</v>
      </c>
      <c r="F60" s="30" t="str">
        <f>IF(B60="","",1+B60*D60+E60)</f>
        <v/>
      </c>
      <c r="G60" s="27" t="s">
        <v>42</v>
      </c>
      <c r="H60" s="29" t="s">
        <v>43</v>
      </c>
    </row>
    <row r="61" spans="1:12" s="2" customFormat="1" ht="9" customHeight="1" thickTop="1" thickBot="1">
      <c r="A61" s="49"/>
      <c r="B61" s="49"/>
      <c r="C61" s="49"/>
      <c r="D61" s="49"/>
      <c r="E61" s="49"/>
      <c r="F61" s="49"/>
      <c r="G61" s="50"/>
      <c r="H61" s="49"/>
      <c r="I61" s="49"/>
      <c r="J61" s="49"/>
      <c r="K61" s="49"/>
      <c r="L61" s="49"/>
    </row>
    <row r="62" spans="1:12" s="2" customFormat="1" ht="3" customHeight="1" thickTop="1">
      <c r="G62" s="3"/>
    </row>
    <row r="63" spans="1:12" s="2" customFormat="1" ht="18">
      <c r="C63" s="19" t="s">
        <v>26</v>
      </c>
      <c r="D63" s="3"/>
      <c r="E63" s="3"/>
      <c r="G63" s="3"/>
      <c r="K63" s="19" t="s">
        <v>29</v>
      </c>
    </row>
    <row r="64" spans="1:12" s="2" customFormat="1" ht="11.25" customHeight="1">
      <c r="E64" s="4"/>
      <c r="G64" s="3"/>
    </row>
    <row r="65" spans="1:13" s="2" customFormat="1" ht="18">
      <c r="A65" s="4" t="s">
        <v>11</v>
      </c>
      <c r="B65" s="35" t="s">
        <v>17</v>
      </c>
      <c r="C65" s="22" t="s">
        <v>17</v>
      </c>
      <c r="D65" s="3" t="s">
        <v>12</v>
      </c>
      <c r="E65" s="35" t="s">
        <v>17</v>
      </c>
      <c r="G65" s="115" t="s">
        <v>30</v>
      </c>
      <c r="H65" s="115"/>
      <c r="I65" s="115"/>
      <c r="J65" s="4"/>
      <c r="K65" s="148"/>
      <c r="L65" s="148"/>
    </row>
    <row r="66" spans="1:13" s="2" customFormat="1" ht="9" customHeight="1">
      <c r="B66" s="3"/>
      <c r="E66" s="3" t="s">
        <v>17</v>
      </c>
      <c r="G66" s="3"/>
    </row>
    <row r="67" spans="1:13" s="2" customFormat="1" ht="18">
      <c r="A67" s="4" t="s">
        <v>13</v>
      </c>
      <c r="B67" s="35" t="s">
        <v>17</v>
      </c>
      <c r="D67" s="3" t="s">
        <v>14</v>
      </c>
      <c r="E67" s="35" t="s">
        <v>17</v>
      </c>
      <c r="G67" s="110" t="s">
        <v>21</v>
      </c>
      <c r="H67" s="110"/>
      <c r="I67" s="110"/>
      <c r="J67" s="40"/>
      <c r="K67" s="148" t="s">
        <v>17</v>
      </c>
      <c r="L67" s="148"/>
    </row>
    <row r="68" spans="1:13" s="2" customFormat="1" ht="9" customHeight="1">
      <c r="B68" s="3"/>
      <c r="E68" s="3" t="s">
        <v>17</v>
      </c>
      <c r="G68" s="3"/>
    </row>
    <row r="69" spans="1:13" s="2" customFormat="1" ht="18.75" thickBot="1">
      <c r="A69" s="4" t="s">
        <v>15</v>
      </c>
      <c r="B69" s="35" t="s">
        <v>17</v>
      </c>
      <c r="D69" s="3" t="s">
        <v>16</v>
      </c>
      <c r="E69" s="35" t="s">
        <v>17</v>
      </c>
      <c r="G69" s="110" t="s">
        <v>22</v>
      </c>
      <c r="H69" s="110"/>
      <c r="I69" s="110"/>
      <c r="J69" s="40"/>
      <c r="K69" s="150" t="str">
        <f>IF(K65="","",K65-K67)</f>
        <v/>
      </c>
      <c r="L69" s="150"/>
    </row>
    <row r="70" spans="1:13" s="2" customFormat="1" ht="8.25" customHeight="1" thickTop="1">
      <c r="G70" s="3"/>
    </row>
    <row r="71" spans="1:13" ht="18">
      <c r="A71" s="23"/>
      <c r="B71" s="23"/>
      <c r="C71" s="23"/>
      <c r="D71" s="23"/>
      <c r="E71" s="23"/>
      <c r="F71" s="23"/>
      <c r="G71" s="110" t="s">
        <v>31</v>
      </c>
      <c r="H71" s="110"/>
      <c r="I71" s="110"/>
      <c r="J71" s="40"/>
      <c r="K71" s="148" t="s">
        <v>17</v>
      </c>
      <c r="L71" s="148"/>
      <c r="M71" s="23"/>
    </row>
    <row r="72" spans="1:13" ht="9" customHeight="1">
      <c r="A72" s="23"/>
      <c r="B72" s="23"/>
      <c r="C72" s="23"/>
      <c r="D72" s="23"/>
      <c r="E72" s="23"/>
      <c r="F72" s="23"/>
      <c r="G72" s="24"/>
      <c r="H72" s="2"/>
      <c r="I72" s="2"/>
      <c r="J72" s="2"/>
      <c r="K72" s="2"/>
      <c r="L72" s="2"/>
      <c r="M72" s="23"/>
    </row>
    <row r="73" spans="1:13" ht="18.75" thickBot="1">
      <c r="A73" s="23"/>
      <c r="B73" s="23"/>
      <c r="C73" s="23"/>
      <c r="D73" s="23"/>
      <c r="E73" s="23"/>
      <c r="F73" s="110" t="s">
        <v>32</v>
      </c>
      <c r="G73" s="110"/>
      <c r="H73" s="110"/>
      <c r="I73" s="110"/>
      <c r="J73" s="40"/>
      <c r="K73" s="149" t="str">
        <f>IF(K69="","",K69+K71)</f>
        <v/>
      </c>
      <c r="L73" s="149"/>
      <c r="M73" s="23"/>
    </row>
    <row r="74" spans="1:13" ht="15.75" thickTop="1"/>
  </sheetData>
  <sheetProtection algorithmName="SHA-512" hashValue="AGv3ISsDalh+aqU8nn1t/odLEWhAovH2NP9FlsQOLw0fqd9KwhaxQFjK69pLf6viZT/2HAUSONoL5JA2sON9ZA==" saltValue="02LqowsV7zQpa8w9tplnHQ==" spinCount="100000" sheet="1" objects="1" scenarios="1"/>
  <mergeCells count="38">
    <mergeCell ref="G71:I71"/>
    <mergeCell ref="F73:I73"/>
    <mergeCell ref="I21:L21"/>
    <mergeCell ref="G65:I65"/>
    <mergeCell ref="G67:I67"/>
    <mergeCell ref="G69:I69"/>
    <mergeCell ref="K71:L71"/>
    <mergeCell ref="K73:L73"/>
    <mergeCell ref="K67:L67"/>
    <mergeCell ref="K69:L69"/>
    <mergeCell ref="K65:L65"/>
    <mergeCell ref="J39:K39"/>
    <mergeCell ref="J44:K44"/>
    <mergeCell ref="J58:K58"/>
    <mergeCell ref="J54:K54"/>
    <mergeCell ref="J49:K49"/>
    <mergeCell ref="L9:L10"/>
    <mergeCell ref="J24:K24"/>
    <mergeCell ref="J29:K29"/>
    <mergeCell ref="J34:K34"/>
    <mergeCell ref="I19:L19"/>
    <mergeCell ref="D1:F1"/>
    <mergeCell ref="D21:F21"/>
    <mergeCell ref="B4:E4"/>
    <mergeCell ref="B6:E6"/>
    <mergeCell ref="B8:C8"/>
    <mergeCell ref="D11:E11"/>
    <mergeCell ref="D13:E13"/>
    <mergeCell ref="D15:E15"/>
    <mergeCell ref="D17:E17"/>
    <mergeCell ref="B21:C21"/>
    <mergeCell ref="D2:F2"/>
    <mergeCell ref="J6:K6"/>
    <mergeCell ref="B11:C11"/>
    <mergeCell ref="B13:C13"/>
    <mergeCell ref="B15:C15"/>
    <mergeCell ref="B17:C17"/>
    <mergeCell ref="I8:K8"/>
  </mergeCells>
  <phoneticPr fontId="1" type="noConversion"/>
  <pageMargins left="1.1000000000000001" right="0.5" top="0.6" bottom="0.5" header="0" footer="0"/>
  <pageSetup scale="61"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PWL CORES</vt:lpstr>
      <vt:lpstr>CIPR</vt:lpstr>
      <vt:lpstr>Random</vt:lpstr>
      <vt:lpstr>SUDAS</vt:lpstr>
      <vt:lpstr>SUDAS Test Strip</vt:lpstr>
      <vt:lpstr>CIPR!Print_Area</vt:lpstr>
      <vt:lpstr>Instructions!Print_Area</vt:lpstr>
      <vt:lpstr>'PWL CORES'!Print_Area</vt:lpstr>
      <vt:lpstr>Random!Print_Area</vt:lpstr>
      <vt:lpstr>SUDAS!Print_Area</vt:lpstr>
      <vt:lpstr>'SUDAS Test Strip'!Print_Area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Schram, Scott</dc:creator>
  <cp:lastModifiedBy>Hart, John</cp:lastModifiedBy>
  <cp:lastPrinted>2008-03-03T16:31:12Z</cp:lastPrinted>
  <dcterms:created xsi:type="dcterms:W3CDTF">2001-09-25T12:04:59Z</dcterms:created>
  <dcterms:modified xsi:type="dcterms:W3CDTF">2026-03-10T15:06:16Z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aac733-ded1-41e0-8ea6-961193f81247_Enabled">
    <vt:lpwstr>true</vt:lpwstr>
  </property>
  <property fmtid="{D5CDD505-2E9C-101B-9397-08002B2CF9AE}" pid="3" name="MSIP_Label_0faac733-ded1-41e0-8ea6-961193f81247_SetDate">
    <vt:lpwstr>2026-03-09T20:35:37Z</vt:lpwstr>
  </property>
  <property fmtid="{D5CDD505-2E9C-101B-9397-08002B2CF9AE}" pid="4" name="MSIP_Label_0faac733-ded1-41e0-8ea6-961193f81247_Method">
    <vt:lpwstr>Standard</vt:lpwstr>
  </property>
  <property fmtid="{D5CDD505-2E9C-101B-9397-08002B2CF9AE}" pid="5" name="MSIP_Label_0faac733-ded1-41e0-8ea6-961193f81247_Name">
    <vt:lpwstr>defa4170-0d19-0005-0004-bc88714345d2</vt:lpwstr>
  </property>
  <property fmtid="{D5CDD505-2E9C-101B-9397-08002B2CF9AE}" pid="6" name="MSIP_Label_0faac733-ded1-41e0-8ea6-961193f81247_SiteId">
    <vt:lpwstr>a1e65fcc-32fa-4fdd-8692-0cc2eb06676e</vt:lpwstr>
  </property>
  <property fmtid="{D5CDD505-2E9C-101B-9397-08002B2CF9AE}" pid="7" name="MSIP_Label_0faac733-ded1-41e0-8ea6-961193f81247_ActionId">
    <vt:lpwstr>b8f0e495-b64a-4df7-a035-7210026da897</vt:lpwstr>
  </property>
  <property fmtid="{D5CDD505-2E9C-101B-9397-08002B2CF9AE}" pid="8" name="MSIP_Label_0faac733-ded1-41e0-8ea6-961193f81247_ContentBits">
    <vt:lpwstr>0</vt:lpwstr>
  </property>
  <property fmtid="{D5CDD505-2E9C-101B-9397-08002B2CF9AE}" pid="9" name="MSIP_Label_0faac733-ded1-41e0-8ea6-961193f81247_Tag">
    <vt:lpwstr>10, 3, 0, 1</vt:lpwstr>
  </property>
</Properties>
</file>