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aveExternalLinkValues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adot-my.sharepoint.com/personal/christian_barko_iowadot_us/Documents/Desktop/NEW FORMS/FINAL 2026/"/>
    </mc:Choice>
  </mc:AlternateContent>
  <xr:revisionPtr revIDLastSave="0" documentId="8_{58488F31-7D09-4D23-A6F3-03199F1B7357}" xr6:coauthVersionLast="47" xr6:coauthVersionMax="47" xr10:uidLastSave="{00000000-0000-0000-0000-000000000000}"/>
  <bookViews>
    <workbookView xWindow="-120" yWindow="-120" windowWidth="29040" windowHeight="15720" tabRatio="858" xr2:uid="{00000000-000D-0000-FFFF-FFFF00000000}"/>
  </bookViews>
  <sheets>
    <sheet name="Mix Info" sheetId="11" r:id="rId1"/>
    <sheet name="Substitution" sheetId="18" r:id="rId2"/>
    <sheet name=" Form E820150" sheetId="16" r:id="rId3"/>
    <sheet name="QMC Mix Adjustment Form" sheetId="42" r:id="rId4"/>
    <sheet name="Batch Wts. English" sheetId="15" r:id="rId5"/>
    <sheet name="Batch Wts. Metric" sheetId="12" state="hidden" r:id="rId6"/>
    <sheet name="Form E820150M" sheetId="17" state="hidden" r:id="rId7"/>
    <sheet name="E820150A" sheetId="13" state="hidden" r:id="rId8"/>
    <sheet name="QMC Gradation" sheetId="20" r:id="rId9"/>
    <sheet name="%Retained-Tarantula" sheetId="21" r:id="rId10"/>
    <sheet name="Power" sheetId="22" r:id="rId11"/>
    <sheet name="CW" sheetId="23" r:id="rId12"/>
    <sheet name="955QMC" sheetId="24" r:id="rId13"/>
    <sheet name="Lab Mix Design" sheetId="25" r:id="rId14"/>
    <sheet name="CA" sheetId="26" state="hidden" r:id="rId15"/>
    <sheet name="FA" sheetId="27" state="hidden" r:id="rId16"/>
    <sheet name="CEMENT" sheetId="28" state="hidden" r:id="rId17"/>
    <sheet name="FLYASH" sheetId="29" state="hidden" r:id="rId18"/>
    <sheet name="SLAG" sheetId="30" state="hidden" r:id="rId19"/>
    <sheet name="ADMIX-AIR" sheetId="31" state="hidden" r:id="rId20"/>
    <sheet name="ADMIX-WR" sheetId="32" state="hidden" r:id="rId21"/>
    <sheet name="ADMIX-MR" sheetId="33" state="hidden" r:id="rId22"/>
    <sheet name="ADMIX-HR" sheetId="34" state="hidden" r:id="rId23"/>
    <sheet name="ADMIX-RETARDER" sheetId="36" state="hidden" r:id="rId24"/>
    <sheet name="ADMIX-SP" sheetId="37" state="hidden" r:id="rId25"/>
    <sheet name="FIBERS" sheetId="39" state="hidden" r:id="rId26"/>
    <sheet name="COMB-WR-MR" sheetId="43" state="hidden" r:id="rId27"/>
    <sheet name="ADMIX-CO2" sheetId="40" state="hidden" r:id="rId28"/>
    <sheet name="ADMIX-FF" sheetId="41" state="hidden" r:id="rId29"/>
    <sheet name="COUNTIES" sheetId="38" state="hidden" r:id="rId30"/>
  </sheets>
  <definedNames>
    <definedName name="_xlnm._FilterDatabase" localSheetId="7" hidden="1">E820150A!$A$42:$A$94</definedName>
    <definedName name="air">#REF!</definedName>
    <definedName name="Article">Substitution!$J$3:$S$17</definedName>
    <definedName name="MIX">E820150A!$A$44:$A$94</definedName>
    <definedName name="_xlnm.Print_Area" localSheetId="2">' Form E820150'!$A$1:$I$70</definedName>
    <definedName name="_xlnm.Print_Area" localSheetId="13">'Lab Mix Design'!$A$1:$K$70</definedName>
    <definedName name="_xlnm.Print_Area" localSheetId="0">'Mix Info'!$A$1:$I$49</definedName>
    <definedName name="_xlnm.Print_Area" localSheetId="8">'QMC Gradation'!$A$1:$I$62</definedName>
    <definedName name="range">#REF!</definedName>
    <definedName name="solver_adj" localSheetId="8" hidden="1">'QMC Gradation'!$B$12:$B$13</definedName>
    <definedName name="solver_cvg" localSheetId="8" hidden="1">0.001</definedName>
    <definedName name="solver_drv" localSheetId="8" hidden="1">1</definedName>
    <definedName name="solver_est" localSheetId="8" hidden="1">1</definedName>
    <definedName name="solver_itr" localSheetId="8" hidden="1">10000</definedName>
    <definedName name="solver_lhs1" localSheetId="8" hidden="1">'QMC Gradation'!$U$3</definedName>
    <definedName name="solver_lhs10" localSheetId="8" hidden="1">'QMC Gradation'!$U$13</definedName>
    <definedName name="solver_lhs11" localSheetId="8" hidden="1">'QMC Gradation'!$B$12</definedName>
    <definedName name="solver_lhs12" localSheetId="8" hidden="1">'QMC Gradation'!$U$6</definedName>
    <definedName name="solver_lhs13" localSheetId="8" hidden="1">'QMC Gradation'!$U$10</definedName>
    <definedName name="solver_lhs14" localSheetId="8" hidden="1">'QMC Gradation'!$U$12</definedName>
    <definedName name="solver_lhs15" localSheetId="8" hidden="1">'QMC Gradation'!$D$56</definedName>
    <definedName name="solver_lhs16" localSheetId="8" hidden="1">'QMC Gradation'!$U$9</definedName>
    <definedName name="solver_lhs17" localSheetId="8" hidden="1">'QMC Gradation'!$F$23</definedName>
    <definedName name="solver_lhs18" localSheetId="8" hidden="1">'QMC Gradation'!$F$24</definedName>
    <definedName name="solver_lhs19" localSheetId="8" hidden="1">'QMC Gradation'!$F$24</definedName>
    <definedName name="solver_lhs2" localSheetId="8" hidden="1">'QMC Gradation'!$D$56</definedName>
    <definedName name="solver_lhs20" localSheetId="8" hidden="1">'QMC Gradation'!$F$26</definedName>
    <definedName name="solver_lhs21" localSheetId="8" hidden="1">'QMC Gradation'!$F$25</definedName>
    <definedName name="solver_lhs22" localSheetId="8" hidden="1">'QMC Gradation'!$F$27</definedName>
    <definedName name="solver_lhs23" localSheetId="8" hidden="1">'QMC Gradation'!$F$26</definedName>
    <definedName name="solver_lhs24" localSheetId="8" hidden="1">'QMC Gradation'!$F$28</definedName>
    <definedName name="solver_lhs25" localSheetId="8" hidden="1">'QMC Gradation'!$F$27</definedName>
    <definedName name="solver_lhs26" localSheetId="8" hidden="1">'QMC Gradation'!$F$29</definedName>
    <definedName name="solver_lhs3" localSheetId="8" hidden="1">'QMC Gradation'!$B$13</definedName>
    <definedName name="solver_lhs4" localSheetId="8" hidden="1">'QMC Gradation'!$F$24</definedName>
    <definedName name="solver_lhs5" localSheetId="8" hidden="1">'QMC Gradation'!$F$23</definedName>
    <definedName name="solver_lhs6" localSheetId="8" hidden="1">'QMC Gradation'!$B$13</definedName>
    <definedName name="solver_lhs7" localSheetId="8" hidden="1">'QMC Gradation'!$B$12</definedName>
    <definedName name="solver_lhs8" localSheetId="8" hidden="1">'QMC Gradation'!$D$56</definedName>
    <definedName name="solver_lhs9" localSheetId="8" hidden="1">'QMC Gradation'!$B$12</definedName>
    <definedName name="solver_lin" localSheetId="8" hidden="1">2</definedName>
    <definedName name="solver_neg" localSheetId="8" hidden="1">1</definedName>
    <definedName name="solver_num" localSheetId="8" hidden="1">9</definedName>
    <definedName name="solver_nwt" localSheetId="8" hidden="1">1</definedName>
    <definedName name="solver_opt" localSheetId="8" hidden="1">'QMC Gradation'!$D$57</definedName>
    <definedName name="solver_pre" localSheetId="8" hidden="1">0.000001</definedName>
    <definedName name="solver_rel1" localSheetId="8" hidden="1">2</definedName>
    <definedName name="solver_rel10" localSheetId="8" hidden="1">1</definedName>
    <definedName name="solver_rel11" localSheetId="8" hidden="1">1</definedName>
    <definedName name="solver_rel12" localSheetId="8" hidden="1">1</definedName>
    <definedName name="solver_rel13" localSheetId="8" hidden="1">1</definedName>
    <definedName name="solver_rel14" localSheetId="8" hidden="1">1</definedName>
    <definedName name="solver_rel15" localSheetId="8" hidden="1">1</definedName>
    <definedName name="solver_rel16" localSheetId="8" hidden="1">1</definedName>
    <definedName name="solver_rel17" localSheetId="8" hidden="1">1</definedName>
    <definedName name="solver_rel18" localSheetId="8" hidden="1">3</definedName>
    <definedName name="solver_rel19" localSheetId="8" hidden="1">1</definedName>
    <definedName name="solver_rel2" localSheetId="8" hidden="1">3</definedName>
    <definedName name="solver_rel20" localSheetId="8" hidden="1">3</definedName>
    <definedName name="solver_rel21" localSheetId="8" hidden="1">1</definedName>
    <definedName name="solver_rel22" localSheetId="8" hidden="1">3</definedName>
    <definedName name="solver_rel23" localSheetId="8" hidden="1">1</definedName>
    <definedName name="solver_rel24" localSheetId="8" hidden="1">3</definedName>
    <definedName name="solver_rel25" localSheetId="8" hidden="1">1</definedName>
    <definedName name="solver_rel26" localSheetId="8" hidden="1">1</definedName>
    <definedName name="solver_rel3" localSheetId="8" hidden="1">1</definedName>
    <definedName name="solver_rel4" localSheetId="8" hidden="1">3</definedName>
    <definedName name="solver_rel5" localSheetId="8" hidden="1">1</definedName>
    <definedName name="solver_rel6" localSheetId="8" hidden="1">3</definedName>
    <definedName name="solver_rel7" localSheetId="8" hidden="1">1</definedName>
    <definedName name="solver_rel8" localSheetId="8" hidden="1">1</definedName>
    <definedName name="solver_rel9" localSheetId="8" hidden="1">3</definedName>
    <definedName name="solver_rhs1" localSheetId="8" hidden="1">100</definedName>
    <definedName name="solver_rhs10" localSheetId="8" hidden="1">12</definedName>
    <definedName name="solver_rhs11" localSheetId="8" hidden="1">62</definedName>
    <definedName name="solver_rhs12" localSheetId="8" hidden="1">7</definedName>
    <definedName name="solver_rhs13" localSheetId="8" hidden="1">7</definedName>
    <definedName name="solver_rhs14" localSheetId="8" hidden="1">7</definedName>
    <definedName name="solver_rhs15" localSheetId="8" hidden="1">70</definedName>
    <definedName name="solver_rhs16" localSheetId="8" hidden="1">7</definedName>
    <definedName name="solver_rhs17" localSheetId="8" hidden="1">15</definedName>
    <definedName name="solver_rhs18" localSheetId="8" hidden="1">8</definedName>
    <definedName name="solver_rhs19" localSheetId="8" hidden="1">15</definedName>
    <definedName name="solver_rhs2" localSheetId="8" hidden="1">50</definedName>
    <definedName name="solver_rhs20" localSheetId="8" hidden="1">8</definedName>
    <definedName name="solver_rhs21" localSheetId="8" hidden="1">15</definedName>
    <definedName name="solver_rhs22" localSheetId="8" hidden="1">8</definedName>
    <definedName name="solver_rhs23" localSheetId="8" hidden="1">15</definedName>
    <definedName name="solver_rhs24" localSheetId="8" hidden="1">8</definedName>
    <definedName name="solver_rhs25" localSheetId="8" hidden="1">15</definedName>
    <definedName name="solver_rhs26" localSheetId="8" hidden="1">15</definedName>
    <definedName name="solver_rhs3" localSheetId="8" hidden="1">55</definedName>
    <definedName name="solver_rhs4" localSheetId="8" hidden="1">8</definedName>
    <definedName name="solver_rhs5" localSheetId="8" hidden="1">15</definedName>
    <definedName name="solver_rhs6" localSheetId="8" hidden="1">38</definedName>
    <definedName name="solver_rhs7" localSheetId="8" hidden="1">62</definedName>
    <definedName name="solver_rhs8" localSheetId="8" hidden="1">70</definedName>
    <definedName name="solver_rhs9" localSheetId="8" hidden="1">45</definedName>
    <definedName name="solver_scl" localSheetId="8" hidden="1">2</definedName>
    <definedName name="solver_sho" localSheetId="8" hidden="1">2</definedName>
    <definedName name="solver_tim" localSheetId="8" hidden="1">100</definedName>
    <definedName name="solver_tol" localSheetId="8" hidden="1">0.01</definedName>
    <definedName name="solver_typ" localSheetId="8" hidden="1">2</definedName>
    <definedName name="solver_val" localSheetId="8" hidden="1">0</definedName>
    <definedName name="vol">#REF!</definedName>
    <definedName name="wc">#REF!</definedName>
    <definedName name="weight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1" l="1"/>
  <c r="B8" i="11"/>
  <c r="A16" i="41"/>
  <c r="A15" i="41"/>
  <c r="A14" i="41"/>
  <c r="A13" i="41"/>
  <c r="A12" i="41"/>
  <c r="A11" i="41"/>
  <c r="A10" i="41"/>
  <c r="A9" i="41"/>
  <c r="A8" i="41"/>
  <c r="A7" i="41"/>
  <c r="A6" i="41"/>
  <c r="A5" i="41"/>
  <c r="A4" i="41"/>
  <c r="A79" i="43"/>
  <c r="A78" i="43"/>
  <c r="A77" i="43"/>
  <c r="A76" i="43"/>
  <c r="A75" i="43"/>
  <c r="A74" i="43"/>
  <c r="A73" i="43"/>
  <c r="A72" i="43"/>
  <c r="A71" i="43"/>
  <c r="A70" i="43"/>
  <c r="A69" i="43"/>
  <c r="A68" i="43"/>
  <c r="A67" i="43"/>
  <c r="A66" i="43"/>
  <c r="A65" i="43"/>
  <c r="A64" i="43"/>
  <c r="A63" i="43"/>
  <c r="A62" i="43"/>
  <c r="A61" i="43"/>
  <c r="A60" i="43"/>
  <c r="A59" i="43"/>
  <c r="A58" i="43"/>
  <c r="A57" i="43"/>
  <c r="A56" i="43"/>
  <c r="A55" i="43"/>
  <c r="A54" i="43"/>
  <c r="A53" i="43"/>
  <c r="A52" i="43"/>
  <c r="A51" i="43"/>
  <c r="A50" i="43"/>
  <c r="A49" i="43"/>
  <c r="A48" i="43"/>
  <c r="A47" i="43"/>
  <c r="A46" i="43"/>
  <c r="A45" i="43"/>
  <c r="A44" i="43"/>
  <c r="A43" i="43"/>
  <c r="A42" i="43"/>
  <c r="A41" i="43"/>
  <c r="A40" i="43"/>
  <c r="A39" i="43"/>
  <c r="A38" i="43"/>
  <c r="A37" i="43"/>
  <c r="A36" i="43"/>
  <c r="A35" i="43"/>
  <c r="A34" i="43"/>
  <c r="A33" i="43"/>
  <c r="A32" i="43"/>
  <c r="A31" i="43"/>
  <c r="A30" i="43"/>
  <c r="A29" i="43"/>
  <c r="A28" i="43"/>
  <c r="A27" i="43"/>
  <c r="A26" i="43"/>
  <c r="A25" i="43"/>
  <c r="A24" i="43"/>
  <c r="A23" i="43"/>
  <c r="A22" i="43"/>
  <c r="A21" i="43"/>
  <c r="A20" i="43"/>
  <c r="A19" i="43"/>
  <c r="A18" i="43"/>
  <c r="A17" i="43"/>
  <c r="A16" i="43"/>
  <c r="A15" i="43"/>
  <c r="A14" i="43"/>
  <c r="A13" i="43"/>
  <c r="A12" i="43"/>
  <c r="A11" i="43"/>
  <c r="A10" i="43"/>
  <c r="A9" i="43"/>
  <c r="A8" i="43"/>
  <c r="A7" i="43"/>
  <c r="A6" i="43"/>
  <c r="A5" i="43"/>
  <c r="A4" i="43"/>
  <c r="A46" i="39"/>
  <c r="A45" i="39"/>
  <c r="A44" i="39"/>
  <c r="A43" i="39"/>
  <c r="A42" i="39"/>
  <c r="A41" i="39"/>
  <c r="A40" i="39"/>
  <c r="A39" i="39"/>
  <c r="A38" i="39"/>
  <c r="A37" i="39"/>
  <c r="A36" i="39"/>
  <c r="A35" i="39"/>
  <c r="A34" i="39"/>
  <c r="A33" i="39"/>
  <c r="A32" i="39"/>
  <c r="A31" i="39"/>
  <c r="A30" i="39"/>
  <c r="A29" i="39"/>
  <c r="A28" i="39"/>
  <c r="A27" i="39"/>
  <c r="A26" i="39"/>
  <c r="A25" i="39"/>
  <c r="A24" i="39"/>
  <c r="A23" i="39"/>
  <c r="A22" i="39"/>
  <c r="A21" i="39"/>
  <c r="A20" i="39"/>
  <c r="A19" i="39"/>
  <c r="A18" i="39"/>
  <c r="A17" i="39"/>
  <c r="A16" i="39"/>
  <c r="A15" i="39"/>
  <c r="A14" i="39"/>
  <c r="A13" i="39"/>
  <c r="A12" i="39"/>
  <c r="A11" i="39"/>
  <c r="A10" i="39"/>
  <c r="A9" i="39"/>
  <c r="A8" i="39"/>
  <c r="A7" i="39"/>
  <c r="A6" i="39"/>
  <c r="A5" i="39"/>
  <c r="A4" i="39"/>
  <c r="A37" i="37"/>
  <c r="A36" i="37"/>
  <c r="A35" i="37"/>
  <c r="A34" i="37"/>
  <c r="A33" i="37"/>
  <c r="A32" i="37"/>
  <c r="A31" i="37"/>
  <c r="A30" i="37"/>
  <c r="A29" i="37"/>
  <c r="A28" i="37"/>
  <c r="A27" i="37"/>
  <c r="A26" i="37"/>
  <c r="A25" i="37"/>
  <c r="A24" i="37"/>
  <c r="A23" i="37"/>
  <c r="A22" i="37"/>
  <c r="A21" i="37"/>
  <c r="A20" i="37"/>
  <c r="A19" i="37"/>
  <c r="A18" i="37"/>
  <c r="A17" i="37"/>
  <c r="A16" i="37"/>
  <c r="A15" i="37"/>
  <c r="A14" i="37"/>
  <c r="A13" i="37"/>
  <c r="A12" i="37"/>
  <c r="A11" i="37"/>
  <c r="A10" i="37"/>
  <c r="A9" i="37"/>
  <c r="A8" i="37"/>
  <c r="A7" i="37"/>
  <c r="A6" i="37"/>
  <c r="A5" i="37"/>
  <c r="A4" i="37"/>
  <c r="A43" i="36"/>
  <c r="A42" i="36"/>
  <c r="A41" i="36"/>
  <c r="A40" i="36"/>
  <c r="A39" i="36"/>
  <c r="A38" i="36"/>
  <c r="A37" i="36"/>
  <c r="A36" i="36"/>
  <c r="A35" i="36"/>
  <c r="A34" i="36"/>
  <c r="A33" i="36"/>
  <c r="A32" i="36"/>
  <c r="A31" i="36"/>
  <c r="A30" i="36"/>
  <c r="A29" i="36"/>
  <c r="A28" i="36"/>
  <c r="A27" i="36"/>
  <c r="A26" i="36"/>
  <c r="A25" i="36"/>
  <c r="A24" i="36"/>
  <c r="A23" i="36"/>
  <c r="A22" i="36"/>
  <c r="A21" i="36"/>
  <c r="A20" i="36"/>
  <c r="A19" i="36"/>
  <c r="A18" i="36"/>
  <c r="A17" i="36"/>
  <c r="A16" i="36"/>
  <c r="A15" i="36"/>
  <c r="A14" i="36"/>
  <c r="A13" i="36"/>
  <c r="A12" i="36"/>
  <c r="A11" i="36"/>
  <c r="A10" i="36"/>
  <c r="A9" i="36"/>
  <c r="A8" i="36"/>
  <c r="A7" i="36"/>
  <c r="A6" i="36"/>
  <c r="A5" i="36"/>
  <c r="A4" i="36"/>
  <c r="A68" i="34"/>
  <c r="A67" i="34"/>
  <c r="A66" i="34"/>
  <c r="A65" i="34"/>
  <c r="A64" i="34"/>
  <c r="A63" i="34"/>
  <c r="A62" i="34"/>
  <c r="A61" i="34"/>
  <c r="A60" i="34"/>
  <c r="A59" i="34"/>
  <c r="A58" i="34"/>
  <c r="A57" i="34"/>
  <c r="A56" i="34"/>
  <c r="A55" i="34"/>
  <c r="A54" i="34"/>
  <c r="A53" i="34"/>
  <c r="A52" i="34"/>
  <c r="A51" i="34"/>
  <c r="A50" i="34"/>
  <c r="A49" i="34"/>
  <c r="A48" i="34"/>
  <c r="A47" i="34"/>
  <c r="A46" i="34"/>
  <c r="A45" i="34"/>
  <c r="A44" i="34"/>
  <c r="A43" i="34"/>
  <c r="A42" i="34"/>
  <c r="A41" i="34"/>
  <c r="A40" i="34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A11" i="34"/>
  <c r="A10" i="34"/>
  <c r="A9" i="34"/>
  <c r="A8" i="34"/>
  <c r="A7" i="34"/>
  <c r="A6" i="34"/>
  <c r="A5" i="34"/>
  <c r="A4" i="34"/>
  <c r="A36" i="33"/>
  <c r="A35" i="33"/>
  <c r="A34" i="33"/>
  <c r="A33" i="33"/>
  <c r="A32" i="33"/>
  <c r="A31" i="33"/>
  <c r="A30" i="33"/>
  <c r="A29" i="33"/>
  <c r="A28" i="33"/>
  <c r="A27" i="33"/>
  <c r="A26" i="33"/>
  <c r="A25" i="33"/>
  <c r="A24" i="33"/>
  <c r="A23" i="33"/>
  <c r="A22" i="33"/>
  <c r="A21" i="33"/>
  <c r="A20" i="33"/>
  <c r="A19" i="33"/>
  <c r="A18" i="33"/>
  <c r="A17" i="33"/>
  <c r="A16" i="33"/>
  <c r="A15" i="33"/>
  <c r="A14" i="33"/>
  <c r="A13" i="33"/>
  <c r="A12" i="33"/>
  <c r="A11" i="33"/>
  <c r="A10" i="33"/>
  <c r="A9" i="33"/>
  <c r="A8" i="33"/>
  <c r="A7" i="33"/>
  <c r="A6" i="33"/>
  <c r="A5" i="33"/>
  <c r="A4" i="33"/>
  <c r="A67" i="32"/>
  <c r="A66" i="32"/>
  <c r="A65" i="32"/>
  <c r="A64" i="32"/>
  <c r="A63" i="32"/>
  <c r="A62" i="32"/>
  <c r="A61" i="32"/>
  <c r="A60" i="32"/>
  <c r="A59" i="32"/>
  <c r="A58" i="32"/>
  <c r="A57" i="32"/>
  <c r="A56" i="32"/>
  <c r="A55" i="32"/>
  <c r="A54" i="32"/>
  <c r="A53" i="32"/>
  <c r="A52" i="32"/>
  <c r="A51" i="32"/>
  <c r="A50" i="32"/>
  <c r="A49" i="32"/>
  <c r="A48" i="32"/>
  <c r="A47" i="32"/>
  <c r="A46" i="32"/>
  <c r="A45" i="32"/>
  <c r="A44" i="32"/>
  <c r="A43" i="32"/>
  <c r="A42" i="32"/>
  <c r="A41" i="32"/>
  <c r="A40" i="32"/>
  <c r="A39" i="32"/>
  <c r="A38" i="32"/>
  <c r="A37" i="32"/>
  <c r="A36" i="32"/>
  <c r="A35" i="32"/>
  <c r="A34" i="32"/>
  <c r="A33" i="32"/>
  <c r="A32" i="32"/>
  <c r="A31" i="32"/>
  <c r="A30" i="32"/>
  <c r="A29" i="32"/>
  <c r="A28" i="32"/>
  <c r="A27" i="32"/>
  <c r="A26" i="32"/>
  <c r="A25" i="32"/>
  <c r="A24" i="32"/>
  <c r="A23" i="32"/>
  <c r="A22" i="32"/>
  <c r="A21" i="32"/>
  <c r="A20" i="32"/>
  <c r="A19" i="32"/>
  <c r="A18" i="32"/>
  <c r="A17" i="32"/>
  <c r="A16" i="32"/>
  <c r="A15" i="32"/>
  <c r="A14" i="32"/>
  <c r="A13" i="32"/>
  <c r="A12" i="32"/>
  <c r="A11" i="32"/>
  <c r="A10" i="32"/>
  <c r="A9" i="32"/>
  <c r="A8" i="32"/>
  <c r="A7" i="32"/>
  <c r="A6" i="32"/>
  <c r="A5" i="32"/>
  <c r="A4" i="32"/>
  <c r="A43" i="31"/>
  <c r="A42" i="31"/>
  <c r="A41" i="31"/>
  <c r="A40" i="31"/>
  <c r="A39" i="31"/>
  <c r="A38" i="31"/>
  <c r="A37" i="31"/>
  <c r="A36" i="31"/>
  <c r="A35" i="31"/>
  <c r="A34" i="31"/>
  <c r="A33" i="31"/>
  <c r="A32" i="31"/>
  <c r="A31" i="31"/>
  <c r="A30" i="31"/>
  <c r="A29" i="31"/>
  <c r="A28" i="31"/>
  <c r="A27" i="31"/>
  <c r="A26" i="31"/>
  <c r="A25" i="31"/>
  <c r="A24" i="31"/>
  <c r="A23" i="31"/>
  <c r="A22" i="31"/>
  <c r="A21" i="31"/>
  <c r="A20" i="31"/>
  <c r="A19" i="31"/>
  <c r="A18" i="31"/>
  <c r="A17" i="31"/>
  <c r="A16" i="31"/>
  <c r="A15" i="31"/>
  <c r="A14" i="31"/>
  <c r="A13" i="31"/>
  <c r="A12" i="31"/>
  <c r="A11" i="31"/>
  <c r="A10" i="31"/>
  <c r="A9" i="31"/>
  <c r="A8" i="31"/>
  <c r="A7" i="31"/>
  <c r="A6" i="31"/>
  <c r="A5" i="31"/>
  <c r="A4" i="31"/>
  <c r="A54" i="29"/>
  <c r="A53" i="29"/>
  <c r="A52" i="29"/>
  <c r="A51" i="29"/>
  <c r="A50" i="29"/>
  <c r="A49" i="29"/>
  <c r="A48" i="29"/>
  <c r="A47" i="29"/>
  <c r="A46" i="29"/>
  <c r="A45" i="29"/>
  <c r="A44" i="29"/>
  <c r="A43" i="29"/>
  <c r="A42" i="29"/>
  <c r="A41" i="29"/>
  <c r="A40" i="29"/>
  <c r="A39" i="29"/>
  <c r="A38" i="29"/>
  <c r="A37" i="29"/>
  <c r="A36" i="29"/>
  <c r="A35" i="29"/>
  <c r="A34" i="29"/>
  <c r="A33" i="29"/>
  <c r="A32" i="29"/>
  <c r="A31" i="29"/>
  <c r="A30" i="29"/>
  <c r="A29" i="29"/>
  <c r="A28" i="29"/>
  <c r="A27" i="29"/>
  <c r="A26" i="29"/>
  <c r="A25" i="29"/>
  <c r="A24" i="29"/>
  <c r="A23" i="29"/>
  <c r="A22" i="29"/>
  <c r="A21" i="29"/>
  <c r="A20" i="29"/>
  <c r="A19" i="29"/>
  <c r="A18" i="29"/>
  <c r="A17" i="29"/>
  <c r="A16" i="29"/>
  <c r="A15" i="29"/>
  <c r="A14" i="29"/>
  <c r="A13" i="29"/>
  <c r="A12" i="29"/>
  <c r="A11" i="29"/>
  <c r="A10" i="29"/>
  <c r="A9" i="29"/>
  <c r="A8" i="29"/>
  <c r="A7" i="29"/>
  <c r="A6" i="29"/>
  <c r="A5" i="29"/>
  <c r="A4" i="29"/>
  <c r="A50" i="28"/>
  <c r="A49" i="28"/>
  <c r="A48" i="28"/>
  <c r="A47" i="28"/>
  <c r="A46" i="28"/>
  <c r="A45" i="28"/>
  <c r="A44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10" i="28"/>
  <c r="A9" i="28"/>
  <c r="A8" i="28"/>
  <c r="A7" i="28"/>
  <c r="A6" i="28"/>
  <c r="A5" i="28"/>
  <c r="A4" i="28"/>
  <c r="A283" i="27"/>
  <c r="A282" i="27"/>
  <c r="A281" i="27"/>
  <c r="A280" i="27"/>
  <c r="A279" i="27"/>
  <c r="A278" i="27"/>
  <c r="A277" i="27"/>
  <c r="A276" i="27"/>
  <c r="A275" i="27"/>
  <c r="A274" i="27"/>
  <c r="A273" i="27"/>
  <c r="A272" i="27"/>
  <c r="A271" i="27"/>
  <c r="A270" i="27"/>
  <c r="A269" i="27"/>
  <c r="A268" i="27"/>
  <c r="A267" i="27"/>
  <c r="A266" i="27"/>
  <c r="A265" i="27"/>
  <c r="A264" i="27"/>
  <c r="A263" i="27"/>
  <c r="A262" i="27"/>
  <c r="A261" i="27"/>
  <c r="A260" i="27"/>
  <c r="A259" i="27"/>
  <c r="A258" i="27"/>
  <c r="A257" i="27"/>
  <c r="A256" i="27"/>
  <c r="A255" i="27"/>
  <c r="A254" i="27"/>
  <c r="A253" i="27"/>
  <c r="A252" i="27"/>
  <c r="A251" i="27"/>
  <c r="A250" i="27"/>
  <c r="A249" i="27"/>
  <c r="A248" i="27"/>
  <c r="A247" i="27"/>
  <c r="A246" i="27"/>
  <c r="A245" i="27"/>
  <c r="A244" i="27"/>
  <c r="A243" i="27"/>
  <c r="A242" i="27"/>
  <c r="A241" i="27"/>
  <c r="A240" i="27"/>
  <c r="A239" i="27"/>
  <c r="A238" i="27"/>
  <c r="A237" i="27"/>
  <c r="A236" i="27"/>
  <c r="A235" i="27"/>
  <c r="A234" i="27"/>
  <c r="A233" i="27"/>
  <c r="A232" i="27"/>
  <c r="A231" i="27"/>
  <c r="A230" i="27"/>
  <c r="A229" i="27"/>
  <c r="A228" i="27"/>
  <c r="A227" i="27"/>
  <c r="A226" i="27"/>
  <c r="A225" i="27"/>
  <c r="A224" i="27"/>
  <c r="A223" i="27"/>
  <c r="A222" i="27"/>
  <c r="A221" i="27"/>
  <c r="A220" i="27"/>
  <c r="A219" i="27"/>
  <c r="A218" i="27"/>
  <c r="A217" i="27"/>
  <c r="A216" i="27"/>
  <c r="A215" i="27"/>
  <c r="A214" i="27"/>
  <c r="A213" i="27"/>
  <c r="A212" i="27"/>
  <c r="A211" i="27"/>
  <c r="A210" i="27"/>
  <c r="A209" i="27"/>
  <c r="A208" i="27"/>
  <c r="A207" i="27"/>
  <c r="A206" i="27"/>
  <c r="A205" i="27"/>
  <c r="A204" i="27"/>
  <c r="A203" i="27"/>
  <c r="A202" i="27"/>
  <c r="A201" i="27"/>
  <c r="A200" i="27"/>
  <c r="A199" i="27"/>
  <c r="A198" i="27"/>
  <c r="A197" i="27"/>
  <c r="A196" i="27"/>
  <c r="A195" i="27"/>
  <c r="A194" i="27"/>
  <c r="A193" i="27"/>
  <c r="A192" i="27"/>
  <c r="A191" i="27"/>
  <c r="A190" i="27"/>
  <c r="A189" i="27"/>
  <c r="A188" i="27"/>
  <c r="A187" i="27"/>
  <c r="A186" i="27"/>
  <c r="A185" i="27"/>
  <c r="A184" i="27"/>
  <c r="A183" i="27"/>
  <c r="A182" i="27"/>
  <c r="A181" i="27"/>
  <c r="A180" i="27"/>
  <c r="A179" i="27"/>
  <c r="A178" i="27"/>
  <c r="A177" i="27"/>
  <c r="A176" i="27"/>
  <c r="A175" i="27"/>
  <c r="A174" i="27"/>
  <c r="A173" i="27"/>
  <c r="A172" i="27"/>
  <c r="A171" i="27"/>
  <c r="A170" i="27"/>
  <c r="A169" i="27"/>
  <c r="A168" i="27"/>
  <c r="A167" i="27"/>
  <c r="A166" i="27"/>
  <c r="A165" i="27"/>
  <c r="A164" i="27"/>
  <c r="A163" i="27"/>
  <c r="A162" i="27"/>
  <c r="A161" i="27"/>
  <c r="A160" i="27"/>
  <c r="A159" i="27"/>
  <c r="A158" i="27"/>
  <c r="A157" i="27"/>
  <c r="A156" i="27"/>
  <c r="A155" i="27"/>
  <c r="A154" i="27"/>
  <c r="A153" i="27"/>
  <c r="A152" i="27"/>
  <c r="A151" i="27"/>
  <c r="A150" i="27"/>
  <c r="A149" i="27"/>
  <c r="A148" i="27"/>
  <c r="A147" i="27"/>
  <c r="A146" i="27"/>
  <c r="A145" i="27"/>
  <c r="A144" i="27"/>
  <c r="A143" i="27"/>
  <c r="A142" i="27"/>
  <c r="A141" i="27"/>
  <c r="A140" i="27"/>
  <c r="A139" i="27"/>
  <c r="A138" i="27"/>
  <c r="A137" i="27"/>
  <c r="A136" i="27"/>
  <c r="A135" i="27"/>
  <c r="A134" i="27"/>
  <c r="A133" i="27"/>
  <c r="A132" i="27"/>
  <c r="A131" i="27"/>
  <c r="A130" i="27"/>
  <c r="A129" i="27"/>
  <c r="A128" i="27"/>
  <c r="A127" i="27"/>
  <c r="A126" i="27"/>
  <c r="A125" i="27"/>
  <c r="A124" i="27"/>
  <c r="A123" i="27"/>
  <c r="A122" i="27"/>
  <c r="A121" i="27"/>
  <c r="A120" i="27"/>
  <c r="A119" i="27"/>
  <c r="A118" i="27"/>
  <c r="A117" i="27"/>
  <c r="A116" i="27"/>
  <c r="A115" i="27"/>
  <c r="A114" i="27"/>
  <c r="A113" i="27"/>
  <c r="A112" i="27"/>
  <c r="A111" i="27"/>
  <c r="A110" i="27"/>
  <c r="A109" i="27"/>
  <c r="A108" i="27"/>
  <c r="A107" i="27"/>
  <c r="A106" i="27"/>
  <c r="A105" i="27"/>
  <c r="A104" i="27"/>
  <c r="A103" i="27"/>
  <c r="A102" i="27"/>
  <c r="A101" i="27"/>
  <c r="A100" i="27"/>
  <c r="A99" i="27"/>
  <c r="A98" i="27"/>
  <c r="A97" i="27"/>
  <c r="A96" i="27"/>
  <c r="A95" i="27"/>
  <c r="A94" i="27"/>
  <c r="A93" i="27"/>
  <c r="A92" i="27"/>
  <c r="A91" i="27"/>
  <c r="A90" i="27"/>
  <c r="A89" i="27"/>
  <c r="A88" i="27"/>
  <c r="A87" i="27"/>
  <c r="A86" i="27"/>
  <c r="A85" i="27"/>
  <c r="A84" i="27"/>
  <c r="A83" i="27"/>
  <c r="A82" i="27"/>
  <c r="A81" i="27"/>
  <c r="A80" i="27"/>
  <c r="A79" i="27"/>
  <c r="A78" i="27"/>
  <c r="A77" i="27"/>
  <c r="A76" i="27"/>
  <c r="A75" i="27"/>
  <c r="A74" i="27"/>
  <c r="A73" i="27"/>
  <c r="A72" i="27"/>
  <c r="A71" i="27"/>
  <c r="A70" i="27"/>
  <c r="A69" i="27"/>
  <c r="A68" i="27"/>
  <c r="A67" i="27"/>
  <c r="A66" i="27"/>
  <c r="A65" i="27"/>
  <c r="A64" i="27"/>
  <c r="A63" i="27"/>
  <c r="A62" i="27"/>
  <c r="A61" i="27"/>
  <c r="A60" i="27"/>
  <c r="A59" i="27"/>
  <c r="A58" i="27"/>
  <c r="A57" i="27"/>
  <c r="A56" i="27"/>
  <c r="A55" i="27"/>
  <c r="A54" i="27"/>
  <c r="A53" i="27"/>
  <c r="A52" i="27"/>
  <c r="A51" i="27"/>
  <c r="A50" i="27"/>
  <c r="A49" i="27"/>
  <c r="A48" i="27"/>
  <c r="A47" i="27"/>
  <c r="A46" i="27"/>
  <c r="A45" i="27"/>
  <c r="A44" i="27"/>
  <c r="A43" i="27"/>
  <c r="A42" i="27"/>
  <c r="A41" i="27"/>
  <c r="A40" i="27"/>
  <c r="A39" i="27"/>
  <c r="A38" i="27"/>
  <c r="A37" i="27"/>
  <c r="A36" i="27"/>
  <c r="A35" i="27"/>
  <c r="A34" i="27"/>
  <c r="A33" i="27"/>
  <c r="A32" i="27"/>
  <c r="A31" i="27"/>
  <c r="A30" i="27"/>
  <c r="A29" i="27"/>
  <c r="A28" i="27"/>
  <c r="A27" i="27"/>
  <c r="A26" i="27"/>
  <c r="A25" i="27"/>
  <c r="A24" i="27"/>
  <c r="A23" i="27"/>
  <c r="A22" i="27"/>
  <c r="A21" i="27"/>
  <c r="A20" i="27"/>
  <c r="A19" i="27"/>
  <c r="A18" i="27"/>
  <c r="A17" i="27"/>
  <c r="A16" i="27"/>
  <c r="A15" i="27"/>
  <c r="A14" i="27"/>
  <c r="A13" i="27"/>
  <c r="A12" i="27"/>
  <c r="A11" i="27"/>
  <c r="A10" i="27"/>
  <c r="A9" i="27"/>
  <c r="A8" i="27"/>
  <c r="A7" i="27"/>
  <c r="A6" i="27"/>
  <c r="A5" i="27"/>
  <c r="A4" i="27"/>
  <c r="A338" i="26"/>
  <c r="A337" i="26"/>
  <c r="A336" i="26"/>
  <c r="A335" i="26"/>
  <c r="A334" i="26"/>
  <c r="A333" i="26"/>
  <c r="A332" i="26"/>
  <c r="A331" i="26"/>
  <c r="A330" i="26"/>
  <c r="A329" i="26"/>
  <c r="A328" i="26"/>
  <c r="A327" i="26"/>
  <c r="A326" i="26"/>
  <c r="A325" i="26"/>
  <c r="A324" i="26"/>
  <c r="A323" i="26"/>
  <c r="A322" i="26"/>
  <c r="A321" i="26"/>
  <c r="A320" i="26"/>
  <c r="A319" i="26"/>
  <c r="A318" i="26"/>
  <c r="A317" i="26"/>
  <c r="A316" i="26"/>
  <c r="A315" i="26"/>
  <c r="A314" i="26"/>
  <c r="A313" i="26"/>
  <c r="A312" i="26"/>
  <c r="A311" i="26"/>
  <c r="A310" i="26"/>
  <c r="A309" i="26"/>
  <c r="A308" i="26"/>
  <c r="A307" i="26"/>
  <c r="A306" i="26"/>
  <c r="A305" i="26"/>
  <c r="A304" i="26"/>
  <c r="A303" i="26"/>
  <c r="A302" i="26"/>
  <c r="A301" i="26"/>
  <c r="A300" i="26"/>
  <c r="A299" i="26"/>
  <c r="A298" i="26"/>
  <c r="A297" i="26"/>
  <c r="A296" i="26"/>
  <c r="A295" i="26"/>
  <c r="A294" i="26"/>
  <c r="A293" i="26"/>
  <c r="A292" i="26"/>
  <c r="A291" i="26"/>
  <c r="A290" i="26"/>
  <c r="A289" i="26"/>
  <c r="A288" i="26"/>
  <c r="A287" i="26"/>
  <c r="A286" i="26"/>
  <c r="A285" i="26"/>
  <c r="A284" i="26"/>
  <c r="A283" i="26"/>
  <c r="A282" i="26"/>
  <c r="A281" i="26"/>
  <c r="A280" i="26"/>
  <c r="A279" i="26"/>
  <c r="A278" i="26"/>
  <c r="A277" i="26"/>
  <c r="A276" i="26"/>
  <c r="A275" i="26"/>
  <c r="A274" i="26"/>
  <c r="A273" i="26"/>
  <c r="A272" i="26"/>
  <c r="A271" i="26"/>
  <c r="A270" i="26"/>
  <c r="A269" i="26"/>
  <c r="A268" i="26"/>
  <c r="A267" i="26"/>
  <c r="A266" i="26"/>
  <c r="A265" i="26"/>
  <c r="A264" i="26"/>
  <c r="A263" i="26"/>
  <c r="A262" i="26"/>
  <c r="A261" i="26"/>
  <c r="A260" i="26"/>
  <c r="A259" i="26"/>
  <c r="A258" i="26"/>
  <c r="A257" i="26"/>
  <c r="A256" i="26"/>
  <c r="A255" i="26"/>
  <c r="A254" i="26"/>
  <c r="A253" i="26"/>
  <c r="A252" i="26"/>
  <c r="A251" i="26"/>
  <c r="A250" i="26"/>
  <c r="A249" i="26"/>
  <c r="A248" i="26"/>
  <c r="A247" i="26"/>
  <c r="A246" i="26"/>
  <c r="A245" i="26"/>
  <c r="A244" i="26"/>
  <c r="A243" i="26"/>
  <c r="A242" i="26"/>
  <c r="A241" i="26"/>
  <c r="A240" i="26"/>
  <c r="A239" i="26"/>
  <c r="A238" i="26"/>
  <c r="A237" i="26"/>
  <c r="A236" i="26"/>
  <c r="A235" i="26"/>
  <c r="A234" i="26"/>
  <c r="A233" i="26"/>
  <c r="A232" i="26"/>
  <c r="A231" i="26"/>
  <c r="A230" i="26"/>
  <c r="A229" i="26"/>
  <c r="A228" i="26"/>
  <c r="A227" i="26"/>
  <c r="A226" i="26"/>
  <c r="A225" i="26"/>
  <c r="A224" i="26"/>
  <c r="A223" i="26"/>
  <c r="A222" i="26"/>
  <c r="A221" i="26"/>
  <c r="A220" i="26"/>
  <c r="A219" i="26"/>
  <c r="A218" i="26"/>
  <c r="A217" i="26"/>
  <c r="A216" i="26"/>
  <c r="A215" i="26"/>
  <c r="A214" i="26"/>
  <c r="A213" i="26"/>
  <c r="A212" i="26"/>
  <c r="A211" i="26"/>
  <c r="A210" i="26"/>
  <c r="A209" i="26"/>
  <c r="A208" i="26"/>
  <c r="A207" i="26"/>
  <c r="A206" i="26"/>
  <c r="A205" i="26"/>
  <c r="A204" i="26"/>
  <c r="A203" i="26"/>
  <c r="A202" i="26"/>
  <c r="A201" i="26"/>
  <c r="A200" i="26"/>
  <c r="A199" i="26"/>
  <c r="A198" i="26"/>
  <c r="A197" i="26"/>
  <c r="A196" i="26"/>
  <c r="A195" i="26"/>
  <c r="A194" i="26"/>
  <c r="A193" i="26"/>
  <c r="A192" i="26"/>
  <c r="A191" i="26"/>
  <c r="A190" i="26"/>
  <c r="A189" i="26"/>
  <c r="A188" i="26"/>
  <c r="A187" i="26"/>
  <c r="A186" i="26"/>
  <c r="A185" i="26"/>
  <c r="A184" i="26"/>
  <c r="A183" i="26"/>
  <c r="A182" i="26"/>
  <c r="A181" i="26"/>
  <c r="A180" i="26"/>
  <c r="A179" i="26"/>
  <c r="A178" i="26"/>
  <c r="A177" i="26"/>
  <c r="A176" i="26"/>
  <c r="A175" i="26"/>
  <c r="A174" i="26"/>
  <c r="A173" i="26"/>
  <c r="A172" i="26"/>
  <c r="A171" i="26"/>
  <c r="A170" i="26"/>
  <c r="A169" i="26"/>
  <c r="A168" i="26"/>
  <c r="A167" i="26"/>
  <c r="A166" i="26"/>
  <c r="A165" i="26"/>
  <c r="A164" i="26"/>
  <c r="A163" i="26"/>
  <c r="A162" i="26"/>
  <c r="A161" i="26"/>
  <c r="A160" i="26"/>
  <c r="A159" i="26"/>
  <c r="A158" i="26"/>
  <c r="A157" i="26"/>
  <c r="A156" i="26"/>
  <c r="A155" i="26"/>
  <c r="A154" i="26"/>
  <c r="A153" i="26"/>
  <c r="A152" i="26"/>
  <c r="A151" i="26"/>
  <c r="A150" i="26"/>
  <c r="A149" i="26"/>
  <c r="A148" i="26"/>
  <c r="A147" i="26"/>
  <c r="A146" i="26"/>
  <c r="A145" i="26"/>
  <c r="A144" i="26"/>
  <c r="A143" i="26"/>
  <c r="A142" i="26"/>
  <c r="A141" i="26"/>
  <c r="A140" i="26"/>
  <c r="A139" i="26"/>
  <c r="A138" i="26"/>
  <c r="A137" i="26"/>
  <c r="A136" i="26"/>
  <c r="A135" i="26"/>
  <c r="A134" i="26"/>
  <c r="A133" i="26"/>
  <c r="A132" i="26"/>
  <c r="A131" i="26"/>
  <c r="A130" i="26"/>
  <c r="A129" i="26"/>
  <c r="A128" i="26"/>
  <c r="A127" i="26"/>
  <c r="A126" i="26"/>
  <c r="A125" i="26"/>
  <c r="A124" i="26"/>
  <c r="A123" i="26"/>
  <c r="A122" i="26"/>
  <c r="A121" i="26"/>
  <c r="A120" i="26"/>
  <c r="A119" i="26"/>
  <c r="A118" i="26"/>
  <c r="A117" i="26"/>
  <c r="A116" i="26"/>
  <c r="A115" i="26"/>
  <c r="A114" i="26"/>
  <c r="A113" i="26"/>
  <c r="A112" i="26"/>
  <c r="A111" i="26"/>
  <c r="A110" i="26"/>
  <c r="A109" i="26"/>
  <c r="A108" i="26"/>
  <c r="A107" i="26"/>
  <c r="A106" i="26"/>
  <c r="A105" i="26"/>
  <c r="A104" i="26"/>
  <c r="A103" i="26"/>
  <c r="A102" i="26"/>
  <c r="A101" i="26"/>
  <c r="A100" i="26"/>
  <c r="A99" i="26"/>
  <c r="A98" i="26"/>
  <c r="A97" i="26"/>
  <c r="A96" i="26"/>
  <c r="A95" i="26"/>
  <c r="A94" i="26"/>
  <c r="A93" i="26"/>
  <c r="A92" i="26"/>
  <c r="A91" i="26"/>
  <c r="A90" i="26"/>
  <c r="A89" i="26"/>
  <c r="A88" i="26"/>
  <c r="A87" i="26"/>
  <c r="A86" i="26"/>
  <c r="A85" i="26"/>
  <c r="A84" i="26"/>
  <c r="A83" i="26"/>
  <c r="A82" i="26"/>
  <c r="A81" i="26"/>
  <c r="A80" i="26"/>
  <c r="A79" i="26"/>
  <c r="A78" i="26"/>
  <c r="A77" i="26"/>
  <c r="A76" i="26"/>
  <c r="A75" i="26"/>
  <c r="A74" i="26"/>
  <c r="A73" i="26"/>
  <c r="A72" i="26"/>
  <c r="A71" i="26"/>
  <c r="A70" i="26"/>
  <c r="A69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G23" i="16"/>
  <c r="G22" i="16"/>
  <c r="A7" i="30"/>
  <c r="A6" i="30"/>
  <c r="A5" i="30"/>
  <c r="A4" i="30"/>
  <c r="A51" i="28"/>
  <c r="A284" i="27"/>
  <c r="F23" i="42"/>
  <c r="F21" i="42"/>
  <c r="H24" i="42"/>
  <c r="F22" i="42"/>
  <c r="F36" i="42"/>
  <c r="E36" i="42"/>
  <c r="F35" i="42"/>
  <c r="E35" i="42"/>
  <c r="D24" i="16"/>
  <c r="E31" i="42"/>
  <c r="E5" i="42"/>
  <c r="E4" i="42"/>
  <c r="E68" i="16"/>
  <c r="E15" i="11"/>
  <c r="D68" i="16"/>
  <c r="A15" i="16"/>
  <c r="A5" i="40"/>
  <c r="A4" i="40"/>
  <c r="B11" i="16"/>
  <c r="M8" i="24"/>
  <c r="I8" i="24"/>
  <c r="M5" i="24"/>
  <c r="H5" i="24"/>
  <c r="D5" i="24"/>
  <c r="F8" i="11"/>
  <c r="F7" i="11"/>
  <c r="F6" i="11"/>
  <c r="B9" i="11"/>
  <c r="C4" i="18"/>
  <c r="A66" i="18" s="1"/>
  <c r="A4" i="18"/>
  <c r="A82" i="18" s="1"/>
  <c r="A84" i="18"/>
  <c r="B4" i="18"/>
  <c r="D4" i="18"/>
  <c r="E12" i="11"/>
  <c r="F59" i="16"/>
  <c r="F58" i="16"/>
  <c r="F57" i="16"/>
  <c r="F56" i="16"/>
  <c r="F5" i="11"/>
  <c r="F3" i="20"/>
  <c r="B15" i="20"/>
  <c r="F24" i="42"/>
  <c r="A60" i="18"/>
  <c r="A76" i="18"/>
  <c r="I68" i="16"/>
  <c r="F55" i="16"/>
  <c r="F54" i="16"/>
  <c r="I24" i="13"/>
  <c r="B15" i="16"/>
  <c r="E20" i="11"/>
  <c r="G15" i="16"/>
  <c r="G70" i="13"/>
  <c r="A1" i="16"/>
  <c r="A2" i="16"/>
  <c r="I3" i="16"/>
  <c r="B13" i="16"/>
  <c r="E13" i="16"/>
  <c r="E30" i="42"/>
  <c r="B5" i="13"/>
  <c r="E11" i="16"/>
  <c r="E29" i="42"/>
  <c r="B62" i="25"/>
  <c r="F62" i="25"/>
  <c r="B70" i="25"/>
  <c r="C70" i="25"/>
  <c r="B68" i="25"/>
  <c r="B66" i="25"/>
  <c r="H66" i="25"/>
  <c r="B64" i="25"/>
  <c r="B60" i="25"/>
  <c r="H60" i="25"/>
  <c r="B7" i="13"/>
  <c r="K13" i="16"/>
  <c r="G16" i="16"/>
  <c r="E66" i="25"/>
  <c r="G62" i="25"/>
  <c r="E62" i="25"/>
  <c r="D66" i="25"/>
  <c r="G64" i="25"/>
  <c r="D64" i="25"/>
  <c r="H64" i="25"/>
  <c r="E64" i="25"/>
  <c r="F64" i="25"/>
  <c r="D62" i="25"/>
  <c r="H62" i="25"/>
  <c r="D70" i="25"/>
  <c r="H70" i="25"/>
  <c r="E70" i="25"/>
  <c r="F70" i="25"/>
  <c r="G70" i="25"/>
  <c r="F68" i="25"/>
  <c r="G68" i="25"/>
  <c r="D68" i="25"/>
  <c r="H68" i="25"/>
  <c r="E68" i="25"/>
  <c r="F66" i="25"/>
  <c r="G66" i="25"/>
  <c r="D60" i="25"/>
  <c r="E60" i="25"/>
  <c r="G60" i="25"/>
  <c r="F60" i="25"/>
  <c r="H71" i="13"/>
  <c r="H72" i="13"/>
  <c r="D72" i="13"/>
  <c r="E72" i="13"/>
  <c r="B16" i="11"/>
  <c r="B13" i="11"/>
  <c r="B11" i="11"/>
  <c r="B23" i="11"/>
  <c r="A102" i="38"/>
  <c r="A101" i="38"/>
  <c r="A100" i="38"/>
  <c r="A99" i="38"/>
  <c r="A98" i="38"/>
  <c r="A97" i="38"/>
  <c r="A96" i="38"/>
  <c r="A95" i="38"/>
  <c r="A94" i="38"/>
  <c r="A93" i="38"/>
  <c r="A92" i="38"/>
  <c r="A91" i="38"/>
  <c r="A90" i="38"/>
  <c r="A89" i="38"/>
  <c r="A88" i="38"/>
  <c r="A87" i="38"/>
  <c r="A86" i="38"/>
  <c r="A85" i="38"/>
  <c r="A84" i="38"/>
  <c r="A83" i="38"/>
  <c r="A82" i="38"/>
  <c r="A81" i="38"/>
  <c r="A80" i="38"/>
  <c r="A79" i="38"/>
  <c r="A78" i="38"/>
  <c r="A77" i="38"/>
  <c r="A76" i="38"/>
  <c r="A75" i="38"/>
  <c r="A74" i="38"/>
  <c r="A73" i="38"/>
  <c r="A72" i="38"/>
  <c r="A71" i="38"/>
  <c r="A70" i="38"/>
  <c r="A69" i="38"/>
  <c r="A68" i="38"/>
  <c r="A67" i="38"/>
  <c r="A66" i="38"/>
  <c r="A65" i="38"/>
  <c r="A64" i="38"/>
  <c r="A63" i="38"/>
  <c r="A62" i="38"/>
  <c r="A61" i="38"/>
  <c r="A60" i="38"/>
  <c r="A59" i="38"/>
  <c r="A58" i="38"/>
  <c r="A57" i="38"/>
  <c r="A56" i="38"/>
  <c r="A55" i="38"/>
  <c r="A54" i="38"/>
  <c r="A53" i="38"/>
  <c r="A52" i="38"/>
  <c r="A51" i="38"/>
  <c r="A50" i="38"/>
  <c r="A49" i="38"/>
  <c r="A48" i="38"/>
  <c r="A47" i="38"/>
  <c r="A46" i="38"/>
  <c r="A45" i="38"/>
  <c r="A44" i="38"/>
  <c r="A43" i="38"/>
  <c r="A42" i="38"/>
  <c r="A41" i="38"/>
  <c r="A40" i="38"/>
  <c r="A39" i="38"/>
  <c r="A38" i="38"/>
  <c r="A37" i="38"/>
  <c r="A36" i="38"/>
  <c r="A35" i="38"/>
  <c r="A34" i="38"/>
  <c r="A33" i="38"/>
  <c r="A32" i="38"/>
  <c r="A31" i="38"/>
  <c r="A30" i="38"/>
  <c r="A29" i="38"/>
  <c r="A28" i="38"/>
  <c r="A27" i="38"/>
  <c r="A26" i="38"/>
  <c r="A25" i="38"/>
  <c r="A24" i="38"/>
  <c r="A23" i="38"/>
  <c r="A22" i="38"/>
  <c r="A21" i="38"/>
  <c r="A20" i="38"/>
  <c r="A19" i="38"/>
  <c r="A18" i="38"/>
  <c r="A17" i="38"/>
  <c r="A16" i="38"/>
  <c r="A15" i="38"/>
  <c r="A14" i="38"/>
  <c r="A13" i="38"/>
  <c r="A12" i="38"/>
  <c r="A11" i="38"/>
  <c r="A10" i="38"/>
  <c r="A9" i="38"/>
  <c r="A8" i="38"/>
  <c r="A7" i="38"/>
  <c r="A6" i="38"/>
  <c r="A5" i="38"/>
  <c r="A4" i="38"/>
  <c r="C8" i="25"/>
  <c r="C7" i="25"/>
  <c r="K59" i="25"/>
  <c r="K33" i="25"/>
  <c r="B8" i="25"/>
  <c r="B6" i="25"/>
  <c r="B4" i="25"/>
  <c r="B52" i="25"/>
  <c r="O21" i="24"/>
  <c r="N21" i="24"/>
  <c r="M21" i="24"/>
  <c r="L21" i="24"/>
  <c r="J21" i="24"/>
  <c r="I21" i="24"/>
  <c r="H21" i="24"/>
  <c r="G21" i="24"/>
  <c r="F21" i="24"/>
  <c r="E21" i="24"/>
  <c r="O20" i="24"/>
  <c r="J20" i="24"/>
  <c r="I20" i="24"/>
  <c r="H20" i="24"/>
  <c r="G20" i="24"/>
  <c r="D21" i="24"/>
  <c r="O19" i="24"/>
  <c r="J19" i="24"/>
  <c r="I19" i="24"/>
  <c r="H19" i="24"/>
  <c r="G19" i="24"/>
  <c r="F19" i="24"/>
  <c r="E19" i="24"/>
  <c r="D19" i="24"/>
  <c r="E12" i="24"/>
  <c r="E11" i="24"/>
  <c r="E10" i="24"/>
  <c r="F14" i="20"/>
  <c r="F13" i="20"/>
  <c r="F12" i="20"/>
  <c r="C14" i="20"/>
  <c r="C13" i="20"/>
  <c r="C12" i="20"/>
  <c r="B21" i="24"/>
  <c r="B20" i="24"/>
  <c r="B19" i="24"/>
  <c r="D61" i="20"/>
  <c r="M57" i="20"/>
  <c r="B52" i="20"/>
  <c r="M48" i="20"/>
  <c r="M47" i="20"/>
  <c r="B46" i="20"/>
  <c r="B45" i="20"/>
  <c r="B44" i="20"/>
  <c r="B43" i="20"/>
  <c r="B42" i="20"/>
  <c r="B41" i="20"/>
  <c r="B40" i="20"/>
  <c r="N38" i="20"/>
  <c r="N37" i="20"/>
  <c r="N36" i="20"/>
  <c r="N35" i="20"/>
  <c r="N34" i="20"/>
  <c r="N33" i="20"/>
  <c r="N32" i="20"/>
  <c r="I33" i="20"/>
  <c r="X31" i="20"/>
  <c r="N31" i="20"/>
  <c r="E31" i="20"/>
  <c r="O28" i="24"/>
  <c r="O27" i="24"/>
  <c r="B27" i="20"/>
  <c r="AB26" i="20"/>
  <c r="Y26" i="20"/>
  <c r="E26" i="20"/>
  <c r="E25" i="20"/>
  <c r="E24" i="20"/>
  <c r="H28" i="24"/>
  <c r="H27" i="24"/>
  <c r="E23" i="20"/>
  <c r="O12" i="20"/>
  <c r="AC21" i="20"/>
  <c r="Z19" i="20"/>
  <c r="W17" i="20"/>
  <c r="AB15" i="20"/>
  <c r="Y15" i="20"/>
  <c r="X15" i="20"/>
  <c r="V15" i="20"/>
  <c r="N15" i="20"/>
  <c r="O20" i="20"/>
  <c r="AC14" i="20"/>
  <c r="Y14" i="20"/>
  <c r="X14" i="20"/>
  <c r="V14" i="20"/>
  <c r="N14" i="20"/>
  <c r="O18" i="20"/>
  <c r="AC13" i="20"/>
  <c r="AB13" i="20"/>
  <c r="AA13" i="20"/>
  <c r="Y13" i="20"/>
  <c r="X13" i="20"/>
  <c r="W13" i="20"/>
  <c r="V13" i="20"/>
  <c r="N13" i="20"/>
  <c r="O16" i="20"/>
  <c r="Z12" i="20"/>
  <c r="W12" i="20"/>
  <c r="N12" i="20"/>
  <c r="AC11" i="20"/>
  <c r="AA11" i="20"/>
  <c r="Z11" i="20"/>
  <c r="W11" i="20"/>
  <c r="N11" i="20"/>
  <c r="AC10" i="20"/>
  <c r="AB10" i="20"/>
  <c r="Z10" i="20"/>
  <c r="Y10" i="20"/>
  <c r="X10" i="20"/>
  <c r="V10" i="20"/>
  <c r="N10" i="20"/>
  <c r="AA9" i="20"/>
  <c r="Z9" i="20"/>
  <c r="Y9" i="20"/>
  <c r="X9" i="20"/>
  <c r="W9" i="20"/>
  <c r="V9" i="20"/>
  <c r="N9" i="20"/>
  <c r="W8" i="20"/>
  <c r="N8" i="20"/>
  <c r="AC7" i="20"/>
  <c r="AB7" i="20"/>
  <c r="Z7" i="20"/>
  <c r="Y7" i="20"/>
  <c r="X7" i="20"/>
  <c r="V7" i="20"/>
  <c r="N7" i="20"/>
  <c r="AA6" i="20"/>
  <c r="W6" i="20"/>
  <c r="N6" i="20"/>
  <c r="N5" i="20"/>
  <c r="AC4" i="20"/>
  <c r="AB4" i="20"/>
  <c r="AA4" i="20"/>
  <c r="Z4" i="20"/>
  <c r="N4" i="20"/>
  <c r="U3" i="20"/>
  <c r="AB5" i="20"/>
  <c r="K19" i="24"/>
  <c r="K21" i="24"/>
  <c r="O11" i="20"/>
  <c r="O4" i="20"/>
  <c r="F26" i="20"/>
  <c r="P9" i="20"/>
  <c r="I28" i="24"/>
  <c r="I24" i="20"/>
  <c r="G28" i="24"/>
  <c r="D57" i="20"/>
  <c r="AB3" i="20"/>
  <c r="J28" i="24"/>
  <c r="J29" i="24"/>
  <c r="O29" i="24"/>
  <c r="F25" i="20"/>
  <c r="F24" i="20"/>
  <c r="AB22" i="20"/>
  <c r="H29" i="24"/>
  <c r="W5" i="20"/>
  <c r="AC5" i="20"/>
  <c r="W10" i="20"/>
  <c r="B28" i="20"/>
  <c r="I32" i="20"/>
  <c r="X5" i="20"/>
  <c r="Y5" i="20"/>
  <c r="O9" i="20"/>
  <c r="O10" i="20"/>
  <c r="Z5" i="20"/>
  <c r="AA5" i="20"/>
  <c r="B47" i="20"/>
  <c r="V5" i="20"/>
  <c r="I26" i="20"/>
  <c r="I67" i="16"/>
  <c r="I66" i="16"/>
  <c r="I65" i="16"/>
  <c r="I64" i="16"/>
  <c r="I63" i="16"/>
  <c r="I62" i="16"/>
  <c r="I61" i="16"/>
  <c r="E67" i="16"/>
  <c r="E66" i="16"/>
  <c r="E65" i="16"/>
  <c r="B24" i="25"/>
  <c r="E64" i="16"/>
  <c r="B23" i="25"/>
  <c r="E63" i="16"/>
  <c r="B22" i="25"/>
  <c r="E62" i="16"/>
  <c r="B21" i="25"/>
  <c r="E61" i="16"/>
  <c r="B20" i="25"/>
  <c r="B16" i="25"/>
  <c r="AC3" i="20"/>
  <c r="AA3" i="20"/>
  <c r="W3" i="20"/>
  <c r="X24" i="20"/>
  <c r="AB24" i="20"/>
  <c r="U9" i="20"/>
  <c r="AC20" i="20"/>
  <c r="X3" i="20"/>
  <c r="B48" i="20"/>
  <c r="L19" i="24"/>
  <c r="Z18" i="20"/>
  <c r="AA14" i="20"/>
  <c r="Z3" i="20"/>
  <c r="AB23" i="20"/>
  <c r="X27" i="20"/>
  <c r="Y3" i="20"/>
  <c r="P10" i="20"/>
  <c r="AB20" i="20"/>
  <c r="V3" i="20"/>
  <c r="M20" i="20"/>
  <c r="G29" i="24"/>
  <c r="G27" i="24"/>
  <c r="J27" i="24"/>
  <c r="I29" i="24"/>
  <c r="I27" i="24"/>
  <c r="X25" i="20"/>
  <c r="X23" i="20"/>
  <c r="AC8" i="20"/>
  <c r="X22" i="20"/>
  <c r="U8" i="20"/>
  <c r="P11" i="20"/>
  <c r="AB25" i="20"/>
  <c r="X20" i="20"/>
  <c r="I27" i="20"/>
  <c r="I23" i="20"/>
  <c r="I25" i="20"/>
  <c r="B29" i="20"/>
  <c r="I22" i="20"/>
  <c r="Y20" i="20"/>
  <c r="B49" i="20"/>
  <c r="M19" i="24"/>
  <c r="AB6" i="20"/>
  <c r="X6" i="20"/>
  <c r="I28" i="20"/>
  <c r="I21" i="20"/>
  <c r="I20" i="20"/>
  <c r="B30" i="20"/>
  <c r="N19" i="24"/>
  <c r="B50" i="20"/>
  <c r="D59" i="20"/>
  <c r="B51" i="20"/>
  <c r="I7" i="16"/>
  <c r="I9" i="16"/>
  <c r="B4" i="13" s="1"/>
  <c r="E9" i="16"/>
  <c r="E28" i="42" s="1"/>
  <c r="C12" i="25"/>
  <c r="B3" i="13"/>
  <c r="H34" i="13" s="1"/>
  <c r="I29" i="20"/>
  <c r="I31" i="20"/>
  <c r="B53" i="20"/>
  <c r="D23" i="16"/>
  <c r="E34" i="42"/>
  <c r="D22" i="16"/>
  <c r="E33" i="42"/>
  <c r="D21" i="16"/>
  <c r="E32" i="42"/>
  <c r="I23" i="16"/>
  <c r="I22" i="16"/>
  <c r="I21" i="16"/>
  <c r="B14" i="25"/>
  <c r="B13" i="25"/>
  <c r="D53" i="20"/>
  <c r="B11" i="13"/>
  <c r="D19" i="25"/>
  <c r="E46" i="25"/>
  <c r="B19" i="25"/>
  <c r="G10" i="24"/>
  <c r="B18" i="25"/>
  <c r="G11" i="24"/>
  <c r="D18" i="25"/>
  <c r="E44" i="25"/>
  <c r="B10" i="13"/>
  <c r="B9" i="13"/>
  <c r="D17" i="25"/>
  <c r="E42" i="25"/>
  <c r="B17" i="25"/>
  <c r="G12" i="24"/>
  <c r="I30" i="20"/>
  <c r="I34" i="20"/>
  <c r="H95" i="13"/>
  <c r="F95" i="13"/>
  <c r="E95" i="13"/>
  <c r="D95" i="13"/>
  <c r="C95" i="13"/>
  <c r="G46" i="25"/>
  <c r="B57" i="16"/>
  <c r="B58" i="16"/>
  <c r="I13" i="16"/>
  <c r="I11" i="16"/>
  <c r="B56" i="16"/>
  <c r="B55" i="16"/>
  <c r="D14" i="25"/>
  <c r="G38" i="25"/>
  <c r="B8" i="13"/>
  <c r="D13" i="25"/>
  <c r="G36" i="25"/>
  <c r="B6" i="13"/>
  <c r="C13" i="25"/>
  <c r="C96" i="13"/>
  <c r="D96" i="13"/>
  <c r="E96" i="13"/>
  <c r="F96" i="13"/>
  <c r="H96" i="13"/>
  <c r="F70" i="13"/>
  <c r="C70" i="13"/>
  <c r="H94" i="13"/>
  <c r="E94" i="13"/>
  <c r="D94" i="13"/>
  <c r="H84" i="13"/>
  <c r="E84" i="13"/>
  <c r="D84" i="13"/>
  <c r="H70" i="13"/>
  <c r="E71" i="13"/>
  <c r="D71" i="13"/>
  <c r="E70" i="13"/>
  <c r="D70" i="13"/>
  <c r="H58" i="13"/>
  <c r="E58" i="13"/>
  <c r="D58" i="13"/>
  <c r="G1" i="13"/>
  <c r="G2" i="13"/>
  <c r="I2" i="16"/>
  <c r="D51" i="16"/>
  <c r="D49" i="16"/>
  <c r="D47" i="16"/>
  <c r="F53" i="16"/>
  <c r="E34" i="16"/>
  <c r="E32" i="16"/>
  <c r="E30" i="16"/>
  <c r="E28" i="16"/>
  <c r="D26" i="16"/>
  <c r="D25" i="16"/>
  <c r="D19" i="16"/>
  <c r="D17" i="16"/>
  <c r="C9" i="16"/>
  <c r="B18" i="13"/>
  <c r="I36" i="16" s="1"/>
  <c r="B13" i="17"/>
  <c r="B11" i="17"/>
  <c r="H9" i="17"/>
  <c r="E9" i="17"/>
  <c r="H7" i="17"/>
  <c r="E13" i="25"/>
  <c r="E14" i="25"/>
  <c r="B5" i="16"/>
  <c r="B2" i="13"/>
  <c r="F2" i="15"/>
  <c r="F2" i="12"/>
  <c r="C39" i="13"/>
  <c r="H21" i="17"/>
  <c r="D21" i="17"/>
  <c r="H20" i="17"/>
  <c r="D20" i="17"/>
  <c r="H19" i="17"/>
  <c r="D19" i="17"/>
  <c r="H13" i="17"/>
  <c r="E13" i="17"/>
  <c r="H11" i="17"/>
  <c r="E11" i="17"/>
  <c r="G16" i="25"/>
  <c r="B48" i="25" s="1"/>
  <c r="E38" i="25"/>
  <c r="E36" i="25"/>
  <c r="H5" i="17"/>
  <c r="I5" i="16"/>
  <c r="H34" i="17"/>
  <c r="B36" i="13"/>
  <c r="F6" i="15" s="1"/>
  <c r="F6" i="12" s="1"/>
  <c r="B35" i="13"/>
  <c r="B16" i="13"/>
  <c r="H30" i="17" s="1"/>
  <c r="F5" i="15"/>
  <c r="F5" i="12" s="1"/>
  <c r="B15" i="13"/>
  <c r="H28" i="17" s="1"/>
  <c r="I25" i="13"/>
  <c r="C60" i="25"/>
  <c r="I60" i="25"/>
  <c r="K60" i="25"/>
  <c r="C62" i="25"/>
  <c r="I62" i="25"/>
  <c r="C68" i="25"/>
  <c r="I68" i="25"/>
  <c r="I70" i="25"/>
  <c r="C64" i="25"/>
  <c r="I64" i="25"/>
  <c r="C66" i="25"/>
  <c r="I66" i="25"/>
  <c r="J60" i="25"/>
  <c r="K66" i="25"/>
  <c r="J66" i="25"/>
  <c r="J64" i="25"/>
  <c r="K64" i="25"/>
  <c r="K70" i="25"/>
  <c r="J70" i="25"/>
  <c r="K68" i="25"/>
  <c r="J68" i="25"/>
  <c r="J62" i="25"/>
  <c r="K62" i="25"/>
  <c r="C15" i="16"/>
  <c r="S33" i="13"/>
  <c r="H32" i="42" s="1"/>
  <c r="S35" i="13"/>
  <c r="H34" i="42" s="1"/>
  <c r="S34" i="13"/>
  <c r="H33" i="42" s="1"/>
  <c r="B12" i="25" l="1"/>
  <c r="D12" i="25"/>
  <c r="E34" i="25" s="1"/>
  <c r="D33" i="13"/>
  <c r="B13" i="13"/>
  <c r="E7" i="17" s="1"/>
  <c r="C34" i="13"/>
  <c r="I29" i="13"/>
  <c r="D35" i="13"/>
  <c r="A47" i="18"/>
  <c r="A41" i="18"/>
  <c r="A65" i="18"/>
  <c r="A46" i="18"/>
  <c r="A71" i="18"/>
  <c r="A45" i="18"/>
  <c r="A72" i="18"/>
  <c r="A39" i="18"/>
  <c r="A78" i="18"/>
  <c r="A67" i="18"/>
  <c r="A42" i="18"/>
  <c r="H4" i="18"/>
  <c r="A48" i="18"/>
  <c r="A70" i="18"/>
  <c r="I4" i="18"/>
  <c r="A55" i="18"/>
  <c r="A79" i="18"/>
  <c r="G4" i="18"/>
  <c r="E4" i="18"/>
  <c r="A54" i="18"/>
  <c r="A40" i="18"/>
  <c r="A73" i="18"/>
  <c r="F4" i="18"/>
  <c r="A59" i="18"/>
  <c r="A51" i="18"/>
  <c r="A61" i="18"/>
  <c r="A58" i="18"/>
  <c r="A77" i="18"/>
  <c r="A83" i="18"/>
  <c r="A64" i="18"/>
  <c r="C48" i="25"/>
  <c r="C38" i="13"/>
  <c r="F3" i="15"/>
  <c r="Y16" i="20"/>
  <c r="D48" i="20"/>
  <c r="B40" i="13"/>
  <c r="C27" i="20"/>
  <c r="V11" i="20"/>
  <c r="C30" i="20"/>
  <c r="V4" i="20"/>
  <c r="F9" i="11"/>
  <c r="E13" i="11" s="1"/>
  <c r="Y11" i="20"/>
  <c r="V12" i="20"/>
  <c r="D60" i="20"/>
  <c r="B38" i="13"/>
  <c r="E53" i="20"/>
  <c r="D45" i="20"/>
  <c r="C20" i="20"/>
  <c r="X16" i="20"/>
  <c r="D47" i="20"/>
  <c r="D51" i="20"/>
  <c r="C21" i="20"/>
  <c r="C22" i="20"/>
  <c r="C28" i="20"/>
  <c r="U4" i="20"/>
  <c r="D44" i="20"/>
  <c r="D41" i="20"/>
  <c r="D43" i="20"/>
  <c r="E42" i="20"/>
  <c r="D46" i="20"/>
  <c r="E40" i="20"/>
  <c r="B39" i="13"/>
  <c r="X4" i="20"/>
  <c r="X11" i="20"/>
  <c r="D42" i="20"/>
  <c r="D50" i="20"/>
  <c r="Y4" i="20"/>
  <c r="C29" i="20"/>
  <c r="W14" i="20"/>
  <c r="D49" i="20"/>
  <c r="W4" i="20"/>
  <c r="D52" i="20"/>
  <c r="E35" i="13"/>
  <c r="J35" i="13"/>
  <c r="F3" i="12"/>
  <c r="E41" i="20"/>
  <c r="D40" i="20"/>
  <c r="B33" i="13"/>
  <c r="E28" i="20" l="1"/>
  <c r="L20" i="24"/>
  <c r="W7" i="20"/>
  <c r="V8" i="20"/>
  <c r="Y8" i="20"/>
  <c r="X8" i="20"/>
  <c r="E21" i="20"/>
  <c r="E20" i="24"/>
  <c r="K20" i="24"/>
  <c r="E27" i="20"/>
  <c r="M20" i="24"/>
  <c r="E29" i="20"/>
  <c r="H49" i="17"/>
  <c r="E57" i="17" s="1"/>
  <c r="F9" i="15"/>
  <c r="I49" i="16"/>
  <c r="E58" i="16" s="1"/>
  <c r="H47" i="17"/>
  <c r="E56" i="17" s="1"/>
  <c r="F8" i="15"/>
  <c r="E20" i="20"/>
  <c r="D20" i="24"/>
  <c r="E30" i="20"/>
  <c r="N20" i="24"/>
  <c r="B7" i="17"/>
  <c r="B7" i="16"/>
  <c r="H33" i="13"/>
  <c r="I33" i="13"/>
  <c r="B9" i="17"/>
  <c r="H35" i="13"/>
  <c r="C33" i="13"/>
  <c r="L35" i="13"/>
  <c r="B34" i="13"/>
  <c r="K35" i="13"/>
  <c r="F7" i="15"/>
  <c r="H45" i="17"/>
  <c r="E55" i="17" s="1"/>
  <c r="G35" i="13"/>
  <c r="F20" i="24"/>
  <c r="E22" i="20"/>
  <c r="O5" i="20" l="1"/>
  <c r="F31" i="20"/>
  <c r="P4" i="20" s="1"/>
  <c r="N28" i="24"/>
  <c r="F8" i="12"/>
  <c r="B35" i="12" s="1"/>
  <c r="B35" i="15"/>
  <c r="E28" i="24"/>
  <c r="O14" i="20"/>
  <c r="F22" i="20"/>
  <c r="J44" i="25"/>
  <c r="F33" i="42"/>
  <c r="F21" i="20"/>
  <c r="D28" i="24"/>
  <c r="O15" i="20"/>
  <c r="F20" i="20"/>
  <c r="O13" i="20"/>
  <c r="F28" i="24"/>
  <c r="D62" i="20"/>
  <c r="F23" i="20"/>
  <c r="I32" i="16"/>
  <c r="G14" i="25" s="1"/>
  <c r="B38" i="25" s="1"/>
  <c r="C38" i="25" s="1"/>
  <c r="H19" i="16"/>
  <c r="I51" i="16"/>
  <c r="E59" i="16" s="1"/>
  <c r="E7" i="16"/>
  <c r="C13" i="16"/>
  <c r="E55" i="16" s="1"/>
  <c r="B9" i="16"/>
  <c r="C19" i="16" s="1"/>
  <c r="I47" i="16"/>
  <c r="E57" i="16" s="1"/>
  <c r="C11" i="16"/>
  <c r="E54" i="16" s="1"/>
  <c r="I30" i="16"/>
  <c r="G13" i="25" s="1"/>
  <c r="B36" i="25" s="1"/>
  <c r="C36" i="25" s="1"/>
  <c r="C17" i="16"/>
  <c r="E53" i="16" s="1"/>
  <c r="B7" i="25"/>
  <c r="O8" i="20"/>
  <c r="K28" i="24"/>
  <c r="F27" i="20"/>
  <c r="F28" i="20"/>
  <c r="F9" i="12"/>
  <c r="B25" i="12" s="1"/>
  <c r="B25" i="15"/>
  <c r="C13" i="17"/>
  <c r="E53" i="17" s="1"/>
  <c r="F17" i="17"/>
  <c r="C11" i="17"/>
  <c r="E52" i="17" s="1"/>
  <c r="O7" i="20"/>
  <c r="L28" i="24"/>
  <c r="F29" i="20"/>
  <c r="D37" i="13"/>
  <c r="C37" i="13"/>
  <c r="C15" i="17"/>
  <c r="E51" i="17" s="1"/>
  <c r="F4" i="15"/>
  <c r="C35" i="13"/>
  <c r="F35" i="13" s="1"/>
  <c r="B14" i="13"/>
  <c r="H26" i="17" s="1"/>
  <c r="I35" i="13"/>
  <c r="B37" i="13"/>
  <c r="F7" i="12"/>
  <c r="B15" i="12" s="1"/>
  <c r="B15" i="15"/>
  <c r="F30" i="20"/>
  <c r="P5" i="20" s="1"/>
  <c r="M28" i="24"/>
  <c r="O6" i="20"/>
  <c r="C17" i="17" l="1"/>
  <c r="P7" i="20"/>
  <c r="X17" i="20"/>
  <c r="H58" i="20"/>
  <c r="X28" i="20"/>
  <c r="AB17" i="20"/>
  <c r="AA10" i="20"/>
  <c r="U12" i="20"/>
  <c r="D29" i="24"/>
  <c r="D27" i="24"/>
  <c r="F4" i="12"/>
  <c r="F11" i="12" s="1"/>
  <c r="H24" i="17" s="1"/>
  <c r="F11" i="15"/>
  <c r="I26" i="16" s="1"/>
  <c r="K29" i="24"/>
  <c r="K27" i="24"/>
  <c r="J38" i="25"/>
  <c r="F30" i="42"/>
  <c r="P14" i="20"/>
  <c r="U5" i="20"/>
  <c r="I44" i="25"/>
  <c r="K44" i="25"/>
  <c r="F34" i="20"/>
  <c r="D56" i="20"/>
  <c r="P15" i="20"/>
  <c r="G10" i="15"/>
  <c r="G10" i="12"/>
  <c r="J34" i="25"/>
  <c r="F28" i="42"/>
  <c r="F34" i="42"/>
  <c r="J46" i="25"/>
  <c r="P13" i="20"/>
  <c r="AA16" i="20"/>
  <c r="X19" i="20"/>
  <c r="W16" i="20"/>
  <c r="U6" i="20"/>
  <c r="AB19" i="20"/>
  <c r="X30" i="20"/>
  <c r="AA12" i="20"/>
  <c r="U13" i="20"/>
  <c r="P6" i="20"/>
  <c r="W15" i="20"/>
  <c r="AA15" i="20"/>
  <c r="E29" i="24"/>
  <c r="E27" i="24"/>
  <c r="G11" i="12"/>
  <c r="G11" i="15"/>
  <c r="D35" i="15"/>
  <c r="K36" i="15"/>
  <c r="D41" i="15"/>
  <c r="G37" i="15"/>
  <c r="K39" i="15"/>
  <c r="F36" i="15"/>
  <c r="B36" i="15"/>
  <c r="E40" i="15"/>
  <c r="F37" i="15"/>
  <c r="C39" i="15"/>
  <c r="D37" i="15"/>
  <c r="J36" i="15"/>
  <c r="B37" i="15"/>
  <c r="K40" i="15"/>
  <c r="B40" i="15"/>
  <c r="C38" i="15"/>
  <c r="D36" i="15"/>
  <c r="E39" i="15"/>
  <c r="C35" i="15"/>
  <c r="G36" i="15"/>
  <c r="I37" i="15"/>
  <c r="G39" i="15"/>
  <c r="G41" i="15"/>
  <c r="H38" i="15"/>
  <c r="I36" i="15"/>
  <c r="J38" i="15"/>
  <c r="D38" i="15"/>
  <c r="K35" i="15"/>
  <c r="E38" i="15"/>
  <c r="H36" i="15"/>
  <c r="I39" i="15"/>
  <c r="I38" i="15"/>
  <c r="H39" i="15"/>
  <c r="K37" i="15"/>
  <c r="F41" i="15"/>
  <c r="E41" i="15"/>
  <c r="J37" i="15"/>
  <c r="E36" i="15"/>
  <c r="F40" i="15"/>
  <c r="D40" i="15"/>
  <c r="I41" i="15"/>
  <c r="B39" i="15"/>
  <c r="B38" i="15"/>
  <c r="E35" i="15"/>
  <c r="J39" i="15"/>
  <c r="F35" i="15"/>
  <c r="J41" i="15"/>
  <c r="C40" i="15"/>
  <c r="H35" i="15"/>
  <c r="H40" i="15"/>
  <c r="H37" i="15"/>
  <c r="F38" i="15"/>
  <c r="K38" i="15"/>
  <c r="B41" i="15"/>
  <c r="G35" i="15"/>
  <c r="G38" i="15"/>
  <c r="C36" i="15"/>
  <c r="C41" i="15"/>
  <c r="C37" i="15"/>
  <c r="G40" i="15"/>
  <c r="H41" i="15"/>
  <c r="E37" i="15"/>
  <c r="I35" i="15"/>
  <c r="K41" i="15"/>
  <c r="I40" i="15"/>
  <c r="J35" i="15"/>
  <c r="J40" i="15"/>
  <c r="D39" i="15"/>
  <c r="F39" i="15"/>
  <c r="L27" i="24"/>
  <c r="L29" i="24"/>
  <c r="M29" i="24"/>
  <c r="M27" i="24"/>
  <c r="K14" i="16"/>
  <c r="G18" i="16" s="1"/>
  <c r="AC9" i="20"/>
  <c r="AB18" i="20"/>
  <c r="Z17" i="20"/>
  <c r="AB21" i="20"/>
  <c r="X21" i="20"/>
  <c r="X18" i="20"/>
  <c r="U7" i="20"/>
  <c r="P12" i="20"/>
  <c r="B37" i="12"/>
  <c r="H40" i="12"/>
  <c r="J41" i="12"/>
  <c r="I41" i="12"/>
  <c r="H36" i="12"/>
  <c r="C38" i="12"/>
  <c r="E37" i="12"/>
  <c r="H35" i="12"/>
  <c r="H39" i="12"/>
  <c r="K36" i="12"/>
  <c r="K35" i="12"/>
  <c r="K40" i="12"/>
  <c r="H38" i="12"/>
  <c r="K37" i="12"/>
  <c r="H41" i="12"/>
  <c r="C41" i="12"/>
  <c r="G35" i="12"/>
  <c r="E41" i="12"/>
  <c r="J40" i="12"/>
  <c r="C37" i="12"/>
  <c r="J35" i="12"/>
  <c r="D40" i="12"/>
  <c r="F36" i="12"/>
  <c r="F40" i="12"/>
  <c r="D37" i="12"/>
  <c r="D36" i="12"/>
  <c r="J38" i="12"/>
  <c r="G38" i="12"/>
  <c r="F38" i="12"/>
  <c r="B39" i="12"/>
  <c r="D39" i="12"/>
  <c r="C40" i="12"/>
  <c r="B41" i="12"/>
  <c r="F39" i="12"/>
  <c r="E38" i="12"/>
  <c r="B36" i="12"/>
  <c r="I40" i="12"/>
  <c r="I38" i="12"/>
  <c r="I37" i="12"/>
  <c r="I39" i="12"/>
  <c r="D41" i="12"/>
  <c r="D38" i="12"/>
  <c r="B38" i="12"/>
  <c r="F35" i="12"/>
  <c r="D35" i="12"/>
  <c r="I36" i="12"/>
  <c r="E36" i="12"/>
  <c r="E40" i="12"/>
  <c r="C36" i="12"/>
  <c r="E39" i="12"/>
  <c r="F41" i="12"/>
  <c r="J36" i="12"/>
  <c r="H37" i="12"/>
  <c r="C35" i="12"/>
  <c r="G39" i="12"/>
  <c r="G41" i="12"/>
  <c r="E35" i="12"/>
  <c r="I35" i="12"/>
  <c r="G40" i="12"/>
  <c r="G36" i="12"/>
  <c r="G37" i="12"/>
  <c r="B40" i="12"/>
  <c r="J37" i="12"/>
  <c r="K41" i="12"/>
  <c r="F37" i="12"/>
  <c r="K39" i="12"/>
  <c r="K38" i="12"/>
  <c r="C39" i="12"/>
  <c r="J39" i="12"/>
  <c r="J42" i="25"/>
  <c r="F32" i="42"/>
  <c r="J20" i="12"/>
  <c r="I16" i="12"/>
  <c r="G17" i="12"/>
  <c r="C19" i="12"/>
  <c r="E20" i="12"/>
  <c r="H19" i="12"/>
  <c r="F15" i="12"/>
  <c r="I15" i="12"/>
  <c r="C17" i="12"/>
  <c r="D20" i="12"/>
  <c r="F21" i="12"/>
  <c r="D17" i="12"/>
  <c r="J16" i="12"/>
  <c r="K21" i="12"/>
  <c r="G16" i="12"/>
  <c r="I18" i="12"/>
  <c r="B20" i="12"/>
  <c r="J17" i="12"/>
  <c r="K15" i="12"/>
  <c r="J18" i="12"/>
  <c r="G15" i="12"/>
  <c r="H16" i="12"/>
  <c r="E19" i="12"/>
  <c r="B18" i="12"/>
  <c r="E16" i="12"/>
  <c r="H17" i="12"/>
  <c r="K17" i="12"/>
  <c r="G18" i="12"/>
  <c r="K16" i="12"/>
  <c r="H21" i="12"/>
  <c r="F17" i="12"/>
  <c r="G20" i="12"/>
  <c r="K20" i="12"/>
  <c r="C20" i="12"/>
  <c r="B16" i="12"/>
  <c r="C15" i="12"/>
  <c r="J21" i="12"/>
  <c r="F18" i="12"/>
  <c r="D19" i="12"/>
  <c r="I17" i="12"/>
  <c r="K18" i="12"/>
  <c r="E18" i="12"/>
  <c r="D16" i="12"/>
  <c r="C21" i="12"/>
  <c r="J15" i="12"/>
  <c r="G21" i="12"/>
  <c r="B19" i="12"/>
  <c r="E17" i="12"/>
  <c r="I20" i="12"/>
  <c r="E15" i="12"/>
  <c r="D15" i="12"/>
  <c r="B21" i="12"/>
  <c r="H20" i="12"/>
  <c r="I19" i="12"/>
  <c r="D21" i="12"/>
  <c r="F19" i="12"/>
  <c r="H18" i="12"/>
  <c r="F20" i="12"/>
  <c r="K19" i="12"/>
  <c r="G19" i="12"/>
  <c r="D18" i="12"/>
  <c r="B17" i="12"/>
  <c r="C18" i="12"/>
  <c r="J19" i="12"/>
  <c r="F16" i="12"/>
  <c r="I21" i="12"/>
  <c r="C16" i="12"/>
  <c r="H15" i="12"/>
  <c r="E21" i="12"/>
  <c r="I28" i="16"/>
  <c r="G12" i="25" s="1"/>
  <c r="B34" i="25" s="1"/>
  <c r="N27" i="24"/>
  <c r="N29" i="24"/>
  <c r="B17" i="13"/>
  <c r="F10" i="12"/>
  <c r="H23" i="17" s="1"/>
  <c r="E54" i="17" s="1"/>
  <c r="F10" i="15"/>
  <c r="I25" i="16" s="1"/>
  <c r="E56" i="16" s="1"/>
  <c r="C27" i="15"/>
  <c r="C29" i="15"/>
  <c r="K26" i="15"/>
  <c r="B29" i="15"/>
  <c r="E31" i="15"/>
  <c r="G30" i="15"/>
  <c r="B28" i="15"/>
  <c r="E27" i="15"/>
  <c r="B26" i="15"/>
  <c r="G27" i="15"/>
  <c r="E26" i="15"/>
  <c r="I25" i="15"/>
  <c r="H30" i="15"/>
  <c r="B30" i="15"/>
  <c r="H25" i="15"/>
  <c r="D31" i="15"/>
  <c r="J28" i="15"/>
  <c r="H27" i="15"/>
  <c r="K28" i="15"/>
  <c r="D28" i="15"/>
  <c r="J27" i="15"/>
  <c r="F31" i="15"/>
  <c r="C30" i="15"/>
  <c r="H28" i="15"/>
  <c r="F26" i="15"/>
  <c r="B27" i="15"/>
  <c r="J26" i="15"/>
  <c r="K31" i="15"/>
  <c r="E29" i="15"/>
  <c r="E28" i="15"/>
  <c r="I30" i="15"/>
  <c r="G28" i="15"/>
  <c r="K25" i="15"/>
  <c r="F27" i="15"/>
  <c r="C25" i="15"/>
  <c r="C28" i="15"/>
  <c r="F29" i="15"/>
  <c r="J25" i="15"/>
  <c r="H29" i="15"/>
  <c r="I27" i="15"/>
  <c r="I29" i="15"/>
  <c r="E25" i="15"/>
  <c r="D25" i="15"/>
  <c r="B31" i="15"/>
  <c r="G31" i="15"/>
  <c r="I31" i="15"/>
  <c r="K27" i="15"/>
  <c r="D30" i="15"/>
  <c r="J29" i="15"/>
  <c r="G29" i="15"/>
  <c r="J31" i="15"/>
  <c r="C26" i="15"/>
  <c r="H31" i="15"/>
  <c r="F28" i="15"/>
  <c r="G25" i="15"/>
  <c r="I26" i="15"/>
  <c r="F25" i="15"/>
  <c r="F30" i="15"/>
  <c r="D29" i="15"/>
  <c r="G26" i="15"/>
  <c r="I28" i="15"/>
  <c r="J30" i="15"/>
  <c r="K30" i="15"/>
  <c r="K29" i="15"/>
  <c r="D26" i="15"/>
  <c r="C31" i="15"/>
  <c r="H26" i="15"/>
  <c r="D27" i="15"/>
  <c r="E30" i="15"/>
  <c r="F29" i="24"/>
  <c r="F27" i="24"/>
  <c r="H57" i="20"/>
  <c r="U10" i="20"/>
  <c r="X26" i="20"/>
  <c r="AA8" i="20"/>
  <c r="X29" i="20"/>
  <c r="P8" i="20"/>
  <c r="U11" i="20"/>
  <c r="AA7" i="20"/>
  <c r="E18" i="15"/>
  <c r="I19" i="15"/>
  <c r="H18" i="15"/>
  <c r="F16" i="15"/>
  <c r="H16" i="15"/>
  <c r="C15" i="15"/>
  <c r="I18" i="15"/>
  <c r="K15" i="15"/>
  <c r="E21" i="15"/>
  <c r="I17" i="15"/>
  <c r="H17" i="15"/>
  <c r="B18" i="15"/>
  <c r="G21" i="15"/>
  <c r="J17" i="15"/>
  <c r="D21" i="15"/>
  <c r="E20" i="15"/>
  <c r="K21" i="15"/>
  <c r="I16" i="15"/>
  <c r="E16" i="15"/>
  <c r="K16" i="15"/>
  <c r="D20" i="15"/>
  <c r="K18" i="15"/>
  <c r="J19" i="15"/>
  <c r="E15" i="15"/>
  <c r="B21" i="15"/>
  <c r="K19" i="15"/>
  <c r="G15" i="15"/>
  <c r="C21" i="15"/>
  <c r="F18" i="15"/>
  <c r="J21" i="15"/>
  <c r="F19" i="15"/>
  <c r="G19" i="15"/>
  <c r="G17" i="15"/>
  <c r="I21" i="15"/>
  <c r="D16" i="15"/>
  <c r="J18" i="15"/>
  <c r="J16" i="15"/>
  <c r="B17" i="15"/>
  <c r="G16" i="15"/>
  <c r="D18" i="15"/>
  <c r="H15" i="15"/>
  <c r="C18" i="15"/>
  <c r="G18" i="15"/>
  <c r="H19" i="15"/>
  <c r="K20" i="15"/>
  <c r="C16" i="15"/>
  <c r="D15" i="15"/>
  <c r="C17" i="15"/>
  <c r="J15" i="15"/>
  <c r="C20" i="15"/>
  <c r="E17" i="15"/>
  <c r="B20" i="15"/>
  <c r="I20" i="15"/>
  <c r="J20" i="15"/>
  <c r="F15" i="15"/>
  <c r="F20" i="15"/>
  <c r="D19" i="15"/>
  <c r="H20" i="15"/>
  <c r="H21" i="15"/>
  <c r="F21" i="15"/>
  <c r="I15" i="15"/>
  <c r="B19" i="15"/>
  <c r="C19" i="15"/>
  <c r="E19" i="15"/>
  <c r="B16" i="15"/>
  <c r="F17" i="15"/>
  <c r="G20" i="15"/>
  <c r="K17" i="15"/>
  <c r="D17" i="15"/>
  <c r="J36" i="25"/>
  <c r="F29" i="42"/>
  <c r="G30" i="12"/>
  <c r="D27" i="12"/>
  <c r="J27" i="12"/>
  <c r="D31" i="12"/>
  <c r="K26" i="12"/>
  <c r="I25" i="12"/>
  <c r="F25" i="12"/>
  <c r="E31" i="12"/>
  <c r="F31" i="12"/>
  <c r="F28" i="12"/>
  <c r="K27" i="12"/>
  <c r="J28" i="12"/>
  <c r="E28" i="12"/>
  <c r="G26" i="12"/>
  <c r="F27" i="12"/>
  <c r="E25" i="12"/>
  <c r="E30" i="12"/>
  <c r="C31" i="12"/>
  <c r="H30" i="12"/>
  <c r="I31" i="12"/>
  <c r="B28" i="12"/>
  <c r="D30" i="12"/>
  <c r="D29" i="12"/>
  <c r="H25" i="12"/>
  <c r="B27" i="12"/>
  <c r="C29" i="12"/>
  <c r="G28" i="12"/>
  <c r="E27" i="12"/>
  <c r="H29" i="12"/>
  <c r="J31" i="12"/>
  <c r="E29" i="12"/>
  <c r="B29" i="12"/>
  <c r="J29" i="12"/>
  <c r="K29" i="12"/>
  <c r="H27" i="12"/>
  <c r="I27" i="12"/>
  <c r="F29" i="12"/>
  <c r="B26" i="12"/>
  <c r="J25" i="12"/>
  <c r="K25" i="12"/>
  <c r="C26" i="12"/>
  <c r="K30" i="12"/>
  <c r="G31" i="12"/>
  <c r="C30" i="12"/>
  <c r="F30" i="12"/>
  <c r="H26" i="12"/>
  <c r="C27" i="12"/>
  <c r="K31" i="12"/>
  <c r="J30" i="12"/>
  <c r="B30" i="12"/>
  <c r="H28" i="12"/>
  <c r="C28" i="12"/>
  <c r="G29" i="12"/>
  <c r="H31" i="12"/>
  <c r="J26" i="12"/>
  <c r="E26" i="12"/>
  <c r="B31" i="12"/>
  <c r="G25" i="12"/>
  <c r="C25" i="12"/>
  <c r="G27" i="12"/>
  <c r="I26" i="12"/>
  <c r="K28" i="12"/>
  <c r="I29" i="12"/>
  <c r="D26" i="12"/>
  <c r="D25" i="12"/>
  <c r="I28" i="12"/>
  <c r="I30" i="12"/>
  <c r="F26" i="12"/>
  <c r="D28" i="12"/>
  <c r="G17" i="16" l="1"/>
  <c r="I34" i="25"/>
  <c r="K34" i="25"/>
  <c r="J39" i="25"/>
  <c r="AB14" i="20"/>
  <c r="Y25" i="20"/>
  <c r="B23" i="17"/>
  <c r="B25" i="16"/>
  <c r="B15" i="25" s="1"/>
  <c r="I38" i="25"/>
  <c r="K38" i="25"/>
  <c r="J40" i="25"/>
  <c r="F31" i="42"/>
  <c r="Y19" i="20"/>
  <c r="Z8" i="20"/>
  <c r="AB11" i="20"/>
  <c r="AC19" i="20"/>
  <c r="Z6" i="20"/>
  <c r="L20" i="20"/>
  <c r="V6" i="20"/>
  <c r="AC6" i="20"/>
  <c r="AC12" i="20"/>
  <c r="Y6" i="20"/>
  <c r="V16" i="20"/>
  <c r="Y23" i="20"/>
  <c r="Y12" i="20"/>
  <c r="AC18" i="20"/>
  <c r="Y18" i="20"/>
  <c r="I46" i="25"/>
  <c r="K46" i="25"/>
  <c r="H32" i="17"/>
  <c r="B19" i="13"/>
  <c r="I34" i="16"/>
  <c r="G15" i="25" s="1"/>
  <c r="B40" i="25" s="1"/>
  <c r="C40" i="25" s="1"/>
  <c r="Y22" i="20"/>
  <c r="AB16" i="20"/>
  <c r="E49" i="20"/>
  <c r="E45" i="20"/>
  <c r="E43" i="20"/>
  <c r="E44" i="20"/>
  <c r="E52" i="20"/>
  <c r="E48" i="20"/>
  <c r="E47" i="20"/>
  <c r="E46" i="20"/>
  <c r="E50" i="20"/>
  <c r="E51" i="20"/>
  <c r="Y24" i="20"/>
  <c r="AB9" i="20"/>
  <c r="I36" i="25"/>
  <c r="K36" i="25"/>
  <c r="B50" i="25"/>
  <c r="C34" i="25"/>
  <c r="B24" i="17"/>
  <c r="B26" i="16"/>
  <c r="AB8" i="20"/>
  <c r="Y21" i="20"/>
  <c r="Y17" i="20"/>
  <c r="AC17" i="20"/>
  <c r="AB12" i="20"/>
  <c r="X12" i="20"/>
  <c r="I42" i="25"/>
  <c r="K42" i="25"/>
  <c r="H53" i="20" s="1"/>
  <c r="C50" i="20" l="1"/>
  <c r="F50" i="20" s="1"/>
  <c r="C47" i="20"/>
  <c r="F47" i="20" s="1"/>
  <c r="C43" i="20"/>
  <c r="F43" i="20" s="1"/>
  <c r="C49" i="20"/>
  <c r="F49" i="20" s="1"/>
  <c r="C52" i="20"/>
  <c r="F52" i="20" s="1"/>
  <c r="C45" i="20"/>
  <c r="F45" i="20" s="1"/>
  <c r="C51" i="20"/>
  <c r="F51" i="20" s="1"/>
  <c r="C46" i="20"/>
  <c r="F46" i="20" s="1"/>
  <c r="C44" i="20"/>
  <c r="F44" i="20" s="1"/>
  <c r="C41" i="20"/>
  <c r="F41" i="20" s="1"/>
  <c r="C40" i="20"/>
  <c r="C48" i="20"/>
  <c r="F48" i="20" s="1"/>
  <c r="C42" i="20"/>
  <c r="F42" i="20" s="1"/>
  <c r="I40" i="25"/>
  <c r="I49" i="25" s="1"/>
  <c r="K40" i="25"/>
  <c r="K49" i="25" s="1"/>
  <c r="J49" i="25"/>
  <c r="D58" i="20"/>
  <c r="B23" i="13"/>
  <c r="I38" i="16"/>
  <c r="B20" i="13"/>
  <c r="H36" i="17"/>
  <c r="S24" i="13" l="1"/>
  <c r="S27" i="13"/>
  <c r="S25" i="13"/>
  <c r="S29" i="13" s="1"/>
  <c r="S23" i="13"/>
  <c r="S22" i="13"/>
  <c r="B25" i="13"/>
  <c r="B29" i="13" s="1"/>
  <c r="I42" i="16" s="1"/>
  <c r="B27" i="13"/>
  <c r="H37" i="17"/>
  <c r="B24" i="13"/>
  <c r="I39" i="16"/>
  <c r="B22" i="13"/>
  <c r="B41" i="17"/>
  <c r="B30" i="13"/>
  <c r="I43" i="16" s="1"/>
  <c r="B26" i="13"/>
  <c r="B43" i="16"/>
  <c r="G52" i="20"/>
  <c r="F40" i="20"/>
  <c r="C53" i="20"/>
  <c r="S26" i="13" l="1"/>
  <c r="S28" i="13" s="1"/>
  <c r="S31" i="13" s="1"/>
  <c r="S30" i="13"/>
  <c r="B44" i="16"/>
  <c r="B42" i="17"/>
  <c r="G18" i="25"/>
  <c r="B44" i="25" s="1"/>
  <c r="C44" i="25" s="1"/>
  <c r="H41" i="17"/>
  <c r="B28" i="13"/>
  <c r="B31" i="13" s="1"/>
  <c r="I44" i="16" s="1"/>
  <c r="I45" i="16" s="1"/>
  <c r="F53" i="20"/>
  <c r="G43" i="20"/>
  <c r="G44" i="20" s="1"/>
  <c r="G45" i="20" s="1"/>
  <c r="G46" i="20" s="1"/>
  <c r="G53" i="20" s="1"/>
  <c r="B40" i="17"/>
  <c r="B42" i="16"/>
  <c r="H40" i="17"/>
  <c r="G17" i="25"/>
  <c r="B42" i="25" s="1"/>
  <c r="C42" i="25" l="1"/>
  <c r="B51" i="25"/>
  <c r="G19" i="25"/>
  <c r="B46" i="25" s="1"/>
  <c r="C46" i="25" s="1"/>
  <c r="H42" i="17"/>
  <c r="H43" i="17" s="1"/>
  <c r="B49" i="25" l="1"/>
  <c r="C49" i="25"/>
</calcChain>
</file>

<file path=xl/sharedStrings.xml><?xml version="1.0" encoding="utf-8"?>
<sst xmlns="http://schemas.openxmlformats.org/spreadsheetml/2006/main" count="3761" uniqueCount="2221">
  <si>
    <t xml:space="preserve">Cement Type:  </t>
  </si>
  <si>
    <t xml:space="preserve">Cement Specific Gravity:  </t>
  </si>
  <si>
    <t xml:space="preserve">Fly Ash Specific Gravity:  </t>
  </si>
  <si>
    <t>Cement</t>
  </si>
  <si>
    <t>Fly Ash</t>
  </si>
  <si>
    <t>Total</t>
  </si>
  <si>
    <t xml:space="preserve">Date: </t>
  </si>
  <si>
    <t>GGBFS</t>
  </si>
  <si>
    <t xml:space="preserve">GGBFS Specific Gravity:  </t>
  </si>
  <si>
    <t xml:space="preserve">Mix Type:  </t>
  </si>
  <si>
    <t xml:space="preserve">Date:  </t>
  </si>
  <si>
    <t xml:space="preserve">% Fly Ash:  </t>
  </si>
  <si>
    <t xml:space="preserve">T-203 Fine Agg. Specific Gravity:  </t>
  </si>
  <si>
    <t xml:space="preserve">Lbs. of Cement: </t>
  </si>
  <si>
    <t xml:space="preserve">Lbs. of Fly Ash: </t>
  </si>
  <si>
    <t xml:space="preserve">Lbs. of Sand: </t>
  </si>
  <si>
    <t xml:space="preserve">Lbs. of Rock: </t>
  </si>
  <si>
    <t xml:space="preserve">Lbs. of GGBFS: </t>
  </si>
  <si>
    <t>C-4</t>
  </si>
  <si>
    <t xml:space="preserve">Lbs. of Intermediate: </t>
  </si>
  <si>
    <t>Mix No.:</t>
  </si>
  <si>
    <t>Cement Type:</t>
  </si>
  <si>
    <t>Cem. Sp. Gr.:</t>
  </si>
  <si>
    <t>%  Fly Ash:</t>
  </si>
  <si>
    <t>Fly Ash SP. G.:</t>
  </si>
  <si>
    <t>Fine Sp. Gr.:</t>
  </si>
  <si>
    <t>CA Sp. Gr.:</t>
  </si>
  <si>
    <t>Cem Abs.</t>
  </si>
  <si>
    <t>Adj. Cem Abs.</t>
  </si>
  <si>
    <t>Fly Ash Abs.</t>
  </si>
  <si>
    <t>Water Abs.</t>
  </si>
  <si>
    <t>Air Abs.</t>
  </si>
  <si>
    <t>Subtotal</t>
  </si>
  <si>
    <t>1 - Subtotal</t>
  </si>
  <si>
    <t>%  FA  Agg.:</t>
  </si>
  <si>
    <t>%  CA  Agg.:</t>
  </si>
  <si>
    <t>Fine Abs.</t>
  </si>
  <si>
    <t>CA Abs.</t>
  </si>
  <si>
    <t>Agg. Total</t>
  </si>
  <si>
    <t>Adj. FA Abs.</t>
  </si>
  <si>
    <t>Adj. CA Abs.</t>
  </si>
  <si>
    <t>Adj. Cement</t>
  </si>
  <si>
    <t>Water Wt.</t>
  </si>
  <si>
    <t>Fine Dry Wt.</t>
  </si>
  <si>
    <t>Ca Dry Wt.</t>
  </si>
  <si>
    <t>Abs.</t>
  </si>
  <si>
    <t>% Fine</t>
  </si>
  <si>
    <t>% Coarse</t>
  </si>
  <si>
    <t>Bas H2O</t>
  </si>
  <si>
    <t>Max. H2O</t>
  </si>
  <si>
    <t>A-2</t>
  </si>
  <si>
    <t>A-3</t>
  </si>
  <si>
    <t>A-4</t>
  </si>
  <si>
    <t>A-5</t>
  </si>
  <si>
    <t>A-6</t>
  </si>
  <si>
    <t>B-2</t>
  </si>
  <si>
    <t>B-3</t>
  </si>
  <si>
    <t>B-4</t>
  </si>
  <si>
    <t>B-5</t>
  </si>
  <si>
    <t>B-6</t>
  </si>
  <si>
    <t>B-7</t>
  </si>
  <si>
    <t>B-8</t>
  </si>
  <si>
    <t>C-2</t>
  </si>
  <si>
    <t>C-3</t>
  </si>
  <si>
    <t>C-5</t>
  </si>
  <si>
    <t>C-6</t>
  </si>
  <si>
    <t>C-3WR</t>
  </si>
  <si>
    <t>C-4WR</t>
  </si>
  <si>
    <t>C-5WR</t>
  </si>
  <si>
    <t>C-6WR</t>
  </si>
  <si>
    <t>D-57</t>
  </si>
  <si>
    <t>D-57-6</t>
  </si>
  <si>
    <t>M-3</t>
  </si>
  <si>
    <t>M-4</t>
  </si>
  <si>
    <t>A-V47B</t>
  </si>
  <si>
    <t>B-V47B</t>
  </si>
  <si>
    <t>A-V</t>
  </si>
  <si>
    <t>B-V</t>
  </si>
  <si>
    <t>C-V</t>
  </si>
  <si>
    <t>M-V</t>
  </si>
  <si>
    <t xml:space="preserve">% GGBFS:  </t>
  </si>
  <si>
    <t>Intermediate Agg. Specific Gravity:</t>
  </si>
  <si>
    <t>%  GGBFS:</t>
  </si>
  <si>
    <t>GGBFS SP. G.:</t>
  </si>
  <si>
    <t>GGBFS Abs.</t>
  </si>
  <si>
    <t>Interm. Dry Wt.</t>
  </si>
  <si>
    <t>Adj. Interm. Abs.</t>
  </si>
  <si>
    <t>%  Interm.  Agg.:</t>
  </si>
  <si>
    <t>Interm. Abs.</t>
  </si>
  <si>
    <t>Interm. Sp. Gr.:</t>
  </si>
  <si>
    <t>BR</t>
  </si>
  <si>
    <t>%Intermediate</t>
  </si>
  <si>
    <r>
      <t>When (</t>
    </r>
    <r>
      <rPr>
        <b/>
        <i/>
        <sz val="10"/>
        <color indexed="10"/>
        <rFont val="Arial MT"/>
      </rPr>
      <t>ENTER</t>
    </r>
    <r>
      <rPr>
        <b/>
        <i/>
        <sz val="10"/>
        <rFont val="Arial MT"/>
      </rPr>
      <t>) displays</t>
    </r>
  </si>
  <si>
    <t>QMC</t>
  </si>
  <si>
    <t>English</t>
  </si>
  <si>
    <t>Metric</t>
  </si>
  <si>
    <t>Mix Type:</t>
  </si>
  <si>
    <t>w/c ratio</t>
  </si>
  <si>
    <t xml:space="preserve">kgs. of Cement: </t>
  </si>
  <si>
    <t xml:space="preserve">kgs. of Fly Ash: </t>
  </si>
  <si>
    <t xml:space="preserve">kgs. of GGBFS: </t>
  </si>
  <si>
    <t xml:space="preserve">kgs. of Sand: </t>
  </si>
  <si>
    <t xml:space="preserve">kgs. of Intermediate: </t>
  </si>
  <si>
    <t xml:space="preserve">kgs. of Rock: </t>
  </si>
  <si>
    <t>DRY Batch Wts.(SSD) Per Cu. Yd.</t>
  </si>
  <si>
    <r>
      <t xml:space="preserve">Adjusted Wet Batch Weights - </t>
    </r>
    <r>
      <rPr>
        <b/>
        <sz val="8"/>
        <rFont val="Arial MT"/>
      </rPr>
      <t>Fine Aggregate</t>
    </r>
    <r>
      <rPr>
        <sz val="8"/>
        <rFont val="Arial MT"/>
      </rPr>
      <t xml:space="preserve">, % Moisture </t>
    </r>
  </si>
  <si>
    <r>
      <t xml:space="preserve">Adjusted Wet Batch Weights - </t>
    </r>
    <r>
      <rPr>
        <b/>
        <sz val="8"/>
        <rFont val="Arial MT"/>
      </rPr>
      <t>COARSE Aggregate</t>
    </r>
    <r>
      <rPr>
        <sz val="8"/>
        <rFont val="Arial MT"/>
      </rPr>
      <t xml:space="preserve">, % Moisture </t>
    </r>
  </si>
  <si>
    <r>
      <t>Basic</t>
    </r>
    <r>
      <rPr>
        <sz val="10"/>
        <rFont val="Arial MT"/>
      </rPr>
      <t xml:space="preserve"> water req. (lbs.):</t>
    </r>
  </si>
  <si>
    <r>
      <t>Max</t>
    </r>
    <r>
      <rPr>
        <sz val="10"/>
        <rFont val="Arial MT"/>
      </rPr>
      <t xml:space="preserve">. Water Allowed (lbs.): </t>
    </r>
  </si>
  <si>
    <r>
      <t>Basic</t>
    </r>
    <r>
      <rPr>
        <sz val="10"/>
        <rFont val="Arial MT"/>
      </rPr>
      <t xml:space="preserve"> water req. (kgs.):</t>
    </r>
  </si>
  <si>
    <r>
      <t>Max</t>
    </r>
    <r>
      <rPr>
        <sz val="10"/>
        <rFont val="Arial MT"/>
      </rPr>
      <t xml:space="preserve">. Water Allowed (kgs.): </t>
    </r>
  </si>
  <si>
    <r>
      <t xml:space="preserve">Adjusted Wet Batch Weights - </t>
    </r>
    <r>
      <rPr>
        <b/>
        <sz val="8"/>
        <rFont val="Arial MT"/>
      </rPr>
      <t>INTERMEDIATE Aggregate</t>
    </r>
    <r>
      <rPr>
        <sz val="8"/>
        <rFont val="Arial MT"/>
      </rPr>
      <t xml:space="preserve">, % Moisture </t>
    </r>
  </si>
  <si>
    <t>DRY Batch Wts. (SSD) Per Cu. Yd.</t>
  </si>
  <si>
    <t>Iowa Department Of Transportation</t>
  </si>
  <si>
    <t>Office Of Materials</t>
  </si>
  <si>
    <t>PORTLAND CEMENT CONCRETE</t>
  </si>
  <si>
    <t xml:space="preserve">Project No.: </t>
  </si>
  <si>
    <t xml:space="preserve">County : </t>
  </si>
  <si>
    <t xml:space="preserve">Mix No.: </t>
  </si>
  <si>
    <t xml:space="preserve">Source: </t>
  </si>
  <si>
    <t xml:space="preserve">Sp. Gr.: </t>
  </si>
  <si>
    <t xml:space="preserve">              Total Cementitious</t>
  </si>
  <si>
    <t xml:space="preserve">Fine Aggregate Source: </t>
  </si>
  <si>
    <t xml:space="preserve">Interm. Aggregate Source: </t>
  </si>
  <si>
    <t xml:space="preserve">Coarse Agregate Source: </t>
  </si>
  <si>
    <t>Basic w/c</t>
  </si>
  <si>
    <t>Max w/c</t>
  </si>
  <si>
    <t>Absolute  Volumes</t>
  </si>
  <si>
    <t>.............................................</t>
  </si>
  <si>
    <t xml:space="preserve">                Slag</t>
  </si>
  <si>
    <t>Water</t>
  </si>
  <si>
    <t xml:space="preserve">= </t>
  </si>
  <si>
    <t>Air</t>
  </si>
  <si>
    <t>......................................................................................................................</t>
  </si>
  <si>
    <t>1.000 - Subtotal</t>
  </si>
  <si>
    <t xml:space="preserve">%  FA  Agg.: </t>
  </si>
  <si>
    <t>Fine  Aggregate ( 1.000 - Subtotal ) X % In Mix</t>
  </si>
  <si>
    <t xml:space="preserve">%  In.  Agg.: </t>
  </si>
  <si>
    <t>Interm.  Aggregate ( 1.000 - Subtotal ) X % In Mix</t>
  </si>
  <si>
    <t xml:space="preserve">%  CA  Agg.: </t>
  </si>
  <si>
    <t>Coarse  Aggregate ( 1.000 - Subtotal ) X % In Mix</t>
  </si>
  <si>
    <t>Aggregate  Total</t>
  </si>
  <si>
    <t>Aggregate  Weights</t>
  </si>
  <si>
    <t>Summary</t>
  </si>
  <si>
    <t xml:space="preserve">Cement </t>
  </si>
  <si>
    <t xml:space="preserve">Fly Ash </t>
  </si>
  <si>
    <t>Slag</t>
  </si>
  <si>
    <t xml:space="preserve">Water </t>
  </si>
  <si>
    <t xml:space="preserve">Fine Agg. </t>
  </si>
  <si>
    <t xml:space="preserve">Interm. Agg. </t>
  </si>
  <si>
    <t xml:space="preserve">Coarse Agg. </t>
  </si>
  <si>
    <t xml:space="preserve">County: </t>
  </si>
  <si>
    <t xml:space="preserve">Cement Source: </t>
  </si>
  <si>
    <t xml:space="preserve">Fly Ash Source: </t>
  </si>
  <si>
    <t xml:space="preserve">GGBFS Source: </t>
  </si>
  <si>
    <t xml:space="preserve">Fine Agg. Source: </t>
  </si>
  <si>
    <t xml:space="preserve">Intermediate Agg. Source: </t>
  </si>
  <si>
    <t xml:space="preserve">T-203 Coarse Agg. Specific Gravity: </t>
  </si>
  <si>
    <t xml:space="preserve">Coarse Agg. Source: </t>
  </si>
  <si>
    <t>w/c, enter if lower than basic w/c</t>
  </si>
  <si>
    <t>Water  (kgs/cm) = Design w/c ( mass cement + mass Fly Ash +Slag) =</t>
  </si>
  <si>
    <t>Max. Water  (kgs/cm) = Design w/c ( mass cement + mass Fly Ash +Slag) =</t>
  </si>
  <si>
    <t xml:space="preserve">      (kgs/cm) / ( Sp. Gr. X 1000)            =</t>
  </si>
  <si>
    <t>Fine Aggregate   ( abs vol.) X Sp. Gr. X 1000</t>
  </si>
  <si>
    <t>Intermediate Aggregate   ( abs vol.) X Sp. Gr. X 1000</t>
  </si>
  <si>
    <t>Coarse Aggregate  ( abs vol.) X Sp. Gr. X 1000</t>
  </si>
  <si>
    <t xml:space="preserve"> (kgs/cm)</t>
  </si>
  <si>
    <t xml:space="preserve">Form  E820150M </t>
  </si>
  <si>
    <t>O-4WR</t>
  </si>
  <si>
    <t xml:space="preserve">Fly Ash Type: </t>
  </si>
  <si>
    <t>IM T203</t>
  </si>
  <si>
    <t>HPC-D</t>
  </si>
  <si>
    <t>HPC-S</t>
  </si>
  <si>
    <t>I</t>
  </si>
  <si>
    <t>I/II</t>
  </si>
  <si>
    <t>Total (100%)</t>
  </si>
  <si>
    <t>HPC-O</t>
  </si>
  <si>
    <t>CV-HPC-D</t>
  </si>
  <si>
    <t>CV-HPC-S</t>
  </si>
  <si>
    <t>IP(25)</t>
  </si>
  <si>
    <t>FM</t>
  </si>
  <si>
    <t>X-2</t>
  </si>
  <si>
    <t>X-3</t>
  </si>
  <si>
    <t>X-4</t>
  </si>
  <si>
    <t xml:space="preserve">(kgs/cm) / ( Sp. Gr. X 1000)            =            </t>
  </si>
  <si>
    <t>(lbs/cy) / ( Sp. Gr. X 62.4 X 27)           =</t>
  </si>
  <si>
    <t>kgs</t>
  </si>
  <si>
    <t>lbs</t>
  </si>
  <si>
    <t>kgs/cm</t>
  </si>
  <si>
    <t>lbs/cy</t>
  </si>
  <si>
    <t>Abs Vol. X Sp. Gr. X 1000</t>
  </si>
  <si>
    <t>Abs Vol. X Sp. Gr. X 62.4 X 27</t>
  </si>
  <si>
    <t>M-V47B</t>
  </si>
  <si>
    <t>Total % Replacement =</t>
  </si>
  <si>
    <t xml:space="preserve">Type:  </t>
  </si>
  <si>
    <t>III</t>
  </si>
  <si>
    <t>Adjusted lbs. Cement:</t>
  </si>
  <si>
    <t>Abs Vol. Cement:</t>
  </si>
  <si>
    <t>%</t>
  </si>
  <si>
    <t xml:space="preserve">Cement (IM 401): </t>
  </si>
  <si>
    <t xml:space="preserve">Fly Ash (IM 491.17): </t>
  </si>
  <si>
    <t xml:space="preserve">Slag (IM 491.14): </t>
  </si>
  <si>
    <t>Rev 05/09</t>
  </si>
  <si>
    <t>Fly Ash (IM 491.17):</t>
  </si>
  <si>
    <t>Slag( IM 491.14 ):</t>
  </si>
  <si>
    <t>Adjusted kgs. Cement:</t>
  </si>
  <si>
    <t>Distribution:  ___  DME,  ___  Proj. Engr.,  ___  Contractor</t>
  </si>
  <si>
    <t>Distribution:   ___  DME,  ___  Proj. Engr.,  ___  Contractor</t>
  </si>
  <si>
    <t>M-5</t>
  </si>
  <si>
    <t>Concrete Pavement</t>
  </si>
  <si>
    <t>Structural Concrete</t>
  </si>
  <si>
    <t>Article</t>
  </si>
  <si>
    <t>Work Type</t>
  </si>
  <si>
    <t>Fly ash</t>
  </si>
  <si>
    <t>IP, IS</t>
  </si>
  <si>
    <t>Note</t>
  </si>
  <si>
    <t>Heating and protection required</t>
  </si>
  <si>
    <t>IP,IS</t>
  </si>
  <si>
    <t>Bridge Deck</t>
  </si>
  <si>
    <t>Oct 16-Mar 15 when maturity is used</t>
  </si>
  <si>
    <t>Oct 16-Mar 15</t>
  </si>
  <si>
    <t>Mar 16-Oct 15</t>
  </si>
  <si>
    <t>Class O Overlay</t>
  </si>
  <si>
    <t>HPC Deck Overlay</t>
  </si>
  <si>
    <t>Barrier Rail</t>
  </si>
  <si>
    <t>Date</t>
  </si>
  <si>
    <t>Comments</t>
  </si>
  <si>
    <t>Replacement allowed only if maturity is used</t>
  </si>
  <si>
    <t>I, II, IL</t>
  </si>
  <si>
    <t>I,II,IL,IP,IS</t>
  </si>
  <si>
    <t>= Basic w/c X (Total Cementitious)           =</t>
  </si>
  <si>
    <t>Max. Water</t>
  </si>
  <si>
    <t>= Max w/c X (Total Cementitious)             =</t>
  </si>
  <si>
    <t>E</t>
  </si>
  <si>
    <t>Fine:</t>
  </si>
  <si>
    <t>Intermediate:</t>
  </si>
  <si>
    <t>Coarse:</t>
  </si>
  <si>
    <t>M</t>
  </si>
  <si>
    <t>Form  E820150</t>
  </si>
  <si>
    <r>
      <t>English or Metric Report (</t>
    </r>
    <r>
      <rPr>
        <b/>
        <i/>
        <sz val="10"/>
        <color indexed="12"/>
        <rFont val="Arial MT"/>
      </rPr>
      <t>E or M</t>
    </r>
    <r>
      <rPr>
        <b/>
        <sz val="10"/>
        <rFont val="Arial MT"/>
      </rPr>
      <t xml:space="preserve">):  </t>
    </r>
  </si>
  <si>
    <t>C-SUD</t>
  </si>
  <si>
    <t>CV-SUD</t>
  </si>
  <si>
    <t>% Intermediate</t>
  </si>
  <si>
    <t>CDM</t>
  </si>
  <si>
    <t>GR</t>
  </si>
  <si>
    <t>SCC</t>
  </si>
  <si>
    <t>TBR</t>
  </si>
  <si>
    <t xml:space="preserve"> Mix Parameters for</t>
  </si>
  <si>
    <t xml:space="preserve"> (Contractor Design)</t>
  </si>
  <si>
    <t>Mixes</t>
  </si>
  <si>
    <t>Abs. Vol. :</t>
  </si>
  <si>
    <t>Basic w/c :</t>
  </si>
  <si>
    <t>Max. w/c :</t>
  </si>
  <si>
    <t>Enter Agg. Percentages for</t>
  </si>
  <si>
    <t xml:space="preserve">Air Entrainment: </t>
  </si>
  <si>
    <t xml:space="preserve">Retarder: </t>
  </si>
  <si>
    <t>FM-Non Critical Fluidity</t>
  </si>
  <si>
    <t>FM-Critical Fluidity</t>
  </si>
  <si>
    <t>If you are using a FM mix, the adjusted wet batch weights will not be accurate.</t>
  </si>
  <si>
    <t>Concrete Supplier:</t>
  </si>
  <si>
    <t>Plant Location:</t>
  </si>
  <si>
    <t>JEFFERSON</t>
  </si>
  <si>
    <t>A03002</t>
  </si>
  <si>
    <t>WEXFORD</t>
  </si>
  <si>
    <t>A03004</t>
  </si>
  <si>
    <t>LANGE</t>
  </si>
  <si>
    <t>A03038</t>
  </si>
  <si>
    <t>RIEHM</t>
  </si>
  <si>
    <t>A03040</t>
  </si>
  <si>
    <t>DEE</t>
  </si>
  <si>
    <t>A03048</t>
  </si>
  <si>
    <t>POSTVILLE</t>
  </si>
  <si>
    <t>A03050</t>
  </si>
  <si>
    <t>GREEN</t>
  </si>
  <si>
    <t>A03066</t>
  </si>
  <si>
    <t>A03502</t>
  </si>
  <si>
    <t>HARPERS FERRY</t>
  </si>
  <si>
    <t>A04016</t>
  </si>
  <si>
    <t>A05506</t>
  </si>
  <si>
    <t>EXIRA</t>
  </si>
  <si>
    <t>A06006</t>
  </si>
  <si>
    <t>GARRISON B</t>
  </si>
  <si>
    <t>A06012</t>
  </si>
  <si>
    <t>JABENS</t>
  </si>
  <si>
    <t>A07004</t>
  </si>
  <si>
    <t>WATERLOO SOUTH</t>
  </si>
  <si>
    <t>A07008</t>
  </si>
  <si>
    <t>MORGAN</t>
  </si>
  <si>
    <t>A07018</t>
  </si>
  <si>
    <t>RAYMOND-PESKE</t>
  </si>
  <si>
    <t>A07020</t>
  </si>
  <si>
    <t>STEINBRON</t>
  </si>
  <si>
    <t>A07508</t>
  </si>
  <si>
    <t>GILBERTVILLE</t>
  </si>
  <si>
    <t>A09006</t>
  </si>
  <si>
    <t>TRIPOLI-PLATTE</t>
  </si>
  <si>
    <t>A10004</t>
  </si>
  <si>
    <t>BLOOM-JESUP</t>
  </si>
  <si>
    <t>A10008</t>
  </si>
  <si>
    <t>OELWEIN</t>
  </si>
  <si>
    <t>A10010</t>
  </si>
  <si>
    <t>HAZELTON</t>
  </si>
  <si>
    <t>A10016</t>
  </si>
  <si>
    <t>OELWEIN #2</t>
  </si>
  <si>
    <t>A10022</t>
  </si>
  <si>
    <t>BROOKS</t>
  </si>
  <si>
    <t>A10030</t>
  </si>
  <si>
    <t>SOUTH AURORA</t>
  </si>
  <si>
    <t>A12502</t>
  </si>
  <si>
    <t>CLARKSVILLE</t>
  </si>
  <si>
    <t>A14504</t>
  </si>
  <si>
    <t>REINHART</t>
  </si>
  <si>
    <t>A14510</t>
  </si>
  <si>
    <t>LANESBORO</t>
  </si>
  <si>
    <t>A14514</t>
  </si>
  <si>
    <t>MACKE</t>
  </si>
  <si>
    <t>A14518</t>
  </si>
  <si>
    <t>MILLER</t>
  </si>
  <si>
    <t>LEWIS</t>
  </si>
  <si>
    <t>A16004</t>
  </si>
  <si>
    <t>LOWDEN-SCHNECKLOTH</t>
  </si>
  <si>
    <t>A16006</t>
  </si>
  <si>
    <t>STONEMILL</t>
  </si>
  <si>
    <t>A16012</t>
  </si>
  <si>
    <t>ONION GROVE</t>
  </si>
  <si>
    <t>A16022</t>
  </si>
  <si>
    <t>TRICON</t>
  </si>
  <si>
    <t>A17008</t>
  </si>
  <si>
    <t>PORTLAND WEST</t>
  </si>
  <si>
    <t>A17012</t>
  </si>
  <si>
    <t>UBBEN</t>
  </si>
  <si>
    <t>A17020</t>
  </si>
  <si>
    <t>MASON CITY</t>
  </si>
  <si>
    <t>A17514</t>
  </si>
  <si>
    <t>HOLCIM SAND</t>
  </si>
  <si>
    <t>A18506</t>
  </si>
  <si>
    <t>CHEROKEE SOUTH</t>
  </si>
  <si>
    <t>A18514</t>
  </si>
  <si>
    <t>LARRABEE-MONTGOMERY</t>
  </si>
  <si>
    <t>A18526</t>
  </si>
  <si>
    <t>CHEROKEE NORTH</t>
  </si>
  <si>
    <t>A18528</t>
  </si>
  <si>
    <t>WASHTA</t>
  </si>
  <si>
    <t>A18534</t>
  </si>
  <si>
    <t>NELSON</t>
  </si>
  <si>
    <t>A19522</t>
  </si>
  <si>
    <t>BUCKY'S</t>
  </si>
  <si>
    <t>A21506</t>
  </si>
  <si>
    <t>EVERLY</t>
  </si>
  <si>
    <t>A21516</t>
  </si>
  <si>
    <t>SPENCER #1</t>
  </si>
  <si>
    <t>A22004</t>
  </si>
  <si>
    <t>BENTE-ELKADER-WATSON</t>
  </si>
  <si>
    <t>A22010</t>
  </si>
  <si>
    <t>OSTERDOCK</t>
  </si>
  <si>
    <t>A22012</t>
  </si>
  <si>
    <t>SCHMIDT</t>
  </si>
  <si>
    <t>A22014</t>
  </si>
  <si>
    <t>BLUME</t>
  </si>
  <si>
    <t>A22038</t>
  </si>
  <si>
    <t>FASSBINDER</t>
  </si>
  <si>
    <t>A22040</t>
  </si>
  <si>
    <t>HARTMAN</t>
  </si>
  <si>
    <t>A22060</t>
  </si>
  <si>
    <t>JOHNSON</t>
  </si>
  <si>
    <t>A22062</t>
  </si>
  <si>
    <t>SNY MAGILL</t>
  </si>
  <si>
    <t>A22068</t>
  </si>
  <si>
    <t>MILLVILLE</t>
  </si>
  <si>
    <t>A22070</t>
  </si>
  <si>
    <t>BERNHARD/GIARD</t>
  </si>
  <si>
    <t>A22074</t>
  </si>
  <si>
    <t>STRAWBERRY POINT</t>
  </si>
  <si>
    <t>A22084</t>
  </si>
  <si>
    <t>MOYNA</t>
  </si>
  <si>
    <t>A22090</t>
  </si>
  <si>
    <t>FRENCHTOWN</t>
  </si>
  <si>
    <t>A23002</t>
  </si>
  <si>
    <t>ELWOOD-YEAGER</t>
  </si>
  <si>
    <t>A23004</t>
  </si>
  <si>
    <t>BEHR</t>
  </si>
  <si>
    <t>A23006</t>
  </si>
  <si>
    <t>SHAFFTON</t>
  </si>
  <si>
    <t>MILL CREEK</t>
  </si>
  <si>
    <t>ANDERSON</t>
  </si>
  <si>
    <t>A24512</t>
  </si>
  <si>
    <t>DUNLAP</t>
  </si>
  <si>
    <t>A25510</t>
  </si>
  <si>
    <t>PERRY</t>
  </si>
  <si>
    <t>A25514</t>
  </si>
  <si>
    <t>BOONEVILLE</t>
  </si>
  <si>
    <t>A25516</t>
  </si>
  <si>
    <t>VAN METER SOUTH</t>
  </si>
  <si>
    <t>A25518</t>
  </si>
  <si>
    <t>RACCOON RIVER SAND</t>
  </si>
  <si>
    <t>A26004</t>
  </si>
  <si>
    <t>A26006</t>
  </si>
  <si>
    <t>BROWN</t>
  </si>
  <si>
    <t>A28008</t>
  </si>
  <si>
    <t>EDGEWOOD WEST</t>
  </si>
  <si>
    <t>A28012</t>
  </si>
  <si>
    <t>A28014</t>
  </si>
  <si>
    <t>LOGAN</t>
  </si>
  <si>
    <t>A28016</t>
  </si>
  <si>
    <t>WHITE</t>
  </si>
  <si>
    <t>A28038</t>
  </si>
  <si>
    <t>EDGEWOOD EAST</t>
  </si>
  <si>
    <t>A28040</t>
  </si>
  <si>
    <t>KRAPFL</t>
  </si>
  <si>
    <t>A28044</t>
  </si>
  <si>
    <t>DUNDEE</t>
  </si>
  <si>
    <t>A28052</t>
  </si>
  <si>
    <t>MANCHESTER</t>
  </si>
  <si>
    <t>A29002</t>
  </si>
  <si>
    <t>A29008</t>
  </si>
  <si>
    <t>A29502</t>
  </si>
  <si>
    <t>SPRING GROVE</t>
  </si>
  <si>
    <t>A30508</t>
  </si>
  <si>
    <t>FOSTORIA/LOST</t>
  </si>
  <si>
    <t>A30510</t>
  </si>
  <si>
    <t>WEDEKING</t>
  </si>
  <si>
    <t>A30520</t>
  </si>
  <si>
    <t>MILFORD/DERNER</t>
  </si>
  <si>
    <t>A31002</t>
  </si>
  <si>
    <t>ROSE SPUR</t>
  </si>
  <si>
    <t>A31006</t>
  </si>
  <si>
    <t>DYERSVILLE EAST</t>
  </si>
  <si>
    <t>A31008</t>
  </si>
  <si>
    <t>KLEIN-RICHARDSVILLE</t>
  </si>
  <si>
    <t>A31010</t>
  </si>
  <si>
    <t>A31014</t>
  </si>
  <si>
    <t>KURT</t>
  </si>
  <si>
    <t>A31018</t>
  </si>
  <si>
    <t>MELOY</t>
  </si>
  <si>
    <t>A31020</t>
  </si>
  <si>
    <t>SCHLITCHE</t>
  </si>
  <si>
    <t>A31026</t>
  </si>
  <si>
    <t>ARNSDORF</t>
  </si>
  <si>
    <t>A31028</t>
  </si>
  <si>
    <t>THOLE</t>
  </si>
  <si>
    <t>A31032</t>
  </si>
  <si>
    <t>A31046</t>
  </si>
  <si>
    <t>DECKER</t>
  </si>
  <si>
    <t>A31048</t>
  </si>
  <si>
    <t>MCDERMOTT</t>
  </si>
  <si>
    <t>A31050</t>
  </si>
  <si>
    <t>PLOESSEL-DYERSVILLE</t>
  </si>
  <si>
    <t>A31052</t>
  </si>
  <si>
    <t>EPWORTH-KIDDER</t>
  </si>
  <si>
    <t>A31056</t>
  </si>
  <si>
    <t>RUBIE</t>
  </si>
  <si>
    <t>A31060</t>
  </si>
  <si>
    <t>CASCADE EAST</t>
  </si>
  <si>
    <t>WEBER</t>
  </si>
  <si>
    <t>A31066</t>
  </si>
  <si>
    <t>FILLMORE</t>
  </si>
  <si>
    <t>A31068</t>
  </si>
  <si>
    <t>DYERSVILLE-MAIERS</t>
  </si>
  <si>
    <t>A32502</t>
  </si>
  <si>
    <t>ESTHERVILLE</t>
  </si>
  <si>
    <t>A32530</t>
  </si>
  <si>
    <t>ESTHERVILLE/WHITE</t>
  </si>
  <si>
    <t>A32538</t>
  </si>
  <si>
    <t>JENSEN</t>
  </si>
  <si>
    <t>A32548</t>
  </si>
  <si>
    <t>LILLAND</t>
  </si>
  <si>
    <t>A33002</t>
  </si>
  <si>
    <t>ELDORADO-JACOBSEN</t>
  </si>
  <si>
    <t>A33024</t>
  </si>
  <si>
    <t>WAUCOMA</t>
  </si>
  <si>
    <t>A33038</t>
  </si>
  <si>
    <t>PAPE</t>
  </si>
  <si>
    <t>A34002</t>
  </si>
  <si>
    <t>CARVILLE-BUNN</t>
  </si>
  <si>
    <t>A34004</t>
  </si>
  <si>
    <t>MAXON</t>
  </si>
  <si>
    <t>A34008</t>
  </si>
  <si>
    <t>WARNHOLTZ</t>
  </si>
  <si>
    <t>A34010</t>
  </si>
  <si>
    <t>WILLIAMS</t>
  </si>
  <si>
    <t>A34018</t>
  </si>
  <si>
    <t>JONES</t>
  </si>
  <si>
    <t>A34502</t>
  </si>
  <si>
    <t>ROCKFORD</t>
  </si>
  <si>
    <t>A34516</t>
  </si>
  <si>
    <t>A34520</t>
  </si>
  <si>
    <t>A35502</t>
  </si>
  <si>
    <t>GENEVA</t>
  </si>
  <si>
    <t>A35522</t>
  </si>
  <si>
    <t>MCDOWELL SAND</t>
  </si>
  <si>
    <t>A37504</t>
  </si>
  <si>
    <t>A37520</t>
  </si>
  <si>
    <t>HAMILTON</t>
  </si>
  <si>
    <t>A40006</t>
  </si>
  <si>
    <t>GRANDGEORGE</t>
  </si>
  <si>
    <t>A41002</t>
  </si>
  <si>
    <t>GARNER NORTH</t>
  </si>
  <si>
    <t>A42002</t>
  </si>
  <si>
    <t>ALDEN</t>
  </si>
  <si>
    <t>A43512</t>
  </si>
  <si>
    <t>WOODBINE-MCCANN</t>
  </si>
  <si>
    <t>A44006</t>
  </si>
  <si>
    <t>LEEPER</t>
  </si>
  <si>
    <t>A45006</t>
  </si>
  <si>
    <t>A45008</t>
  </si>
  <si>
    <t>DOTZLER</t>
  </si>
  <si>
    <t>A45010</t>
  </si>
  <si>
    <t>DALEY</t>
  </si>
  <si>
    <t>A45028</t>
  </si>
  <si>
    <t>ELMA</t>
  </si>
  <si>
    <t>A45504</t>
  </si>
  <si>
    <t>ECKERMAN</t>
  </si>
  <si>
    <t>A45508</t>
  </si>
  <si>
    <t>SOVEREIGN</t>
  </si>
  <si>
    <t>A46004</t>
  </si>
  <si>
    <t>GRIFFITH</t>
  </si>
  <si>
    <t>A46006</t>
  </si>
  <si>
    <t>HODGES</t>
  </si>
  <si>
    <t>A46014</t>
  </si>
  <si>
    <t>PEDERSEN</t>
  </si>
  <si>
    <t>ERICKSON</t>
  </si>
  <si>
    <t>A46018</t>
  </si>
  <si>
    <t>MOORE EAST</t>
  </si>
  <si>
    <t>A46518</t>
  </si>
  <si>
    <t>A49002</t>
  </si>
  <si>
    <t>BELLEVUE</t>
  </si>
  <si>
    <t>A49008</t>
  </si>
  <si>
    <t>IRON HILL</t>
  </si>
  <si>
    <t>A49010</t>
  </si>
  <si>
    <t>ANDREW</t>
  </si>
  <si>
    <t>A49012</t>
  </si>
  <si>
    <t>FROST</t>
  </si>
  <si>
    <t>A49020</t>
  </si>
  <si>
    <t>PRESTON</t>
  </si>
  <si>
    <t>A49021</t>
  </si>
  <si>
    <t>PRESTON R/M</t>
  </si>
  <si>
    <t>A49024</t>
  </si>
  <si>
    <t>MAQUOKETA EAST</t>
  </si>
  <si>
    <t>PETERSON</t>
  </si>
  <si>
    <t>A49060</t>
  </si>
  <si>
    <t>ST DONATUS</t>
  </si>
  <si>
    <t>A49506</t>
  </si>
  <si>
    <t>A49516</t>
  </si>
  <si>
    <t>TURNER</t>
  </si>
  <si>
    <t>A49526</t>
  </si>
  <si>
    <t>BELLEVUE FARM</t>
  </si>
  <si>
    <t>A49530</t>
  </si>
  <si>
    <t>A50002</t>
  </si>
  <si>
    <t>SULLY MINE</t>
  </si>
  <si>
    <t>A51006</t>
  </si>
  <si>
    <t>A52004</t>
  </si>
  <si>
    <t>CONKLIN</t>
  </si>
  <si>
    <t>A52006</t>
  </si>
  <si>
    <t>KLEIN</t>
  </si>
  <si>
    <t>A53002</t>
  </si>
  <si>
    <t>FARMERS-BEHRENDS</t>
  </si>
  <si>
    <t>A53010</t>
  </si>
  <si>
    <t>BALLOU-OLIN</t>
  </si>
  <si>
    <t>A53016</t>
  </si>
  <si>
    <t>STONE CITY</t>
  </si>
  <si>
    <t>A53018</t>
  </si>
  <si>
    <t>FINN</t>
  </si>
  <si>
    <t>A53024</t>
  </si>
  <si>
    <t>SULLIVAN</t>
  </si>
  <si>
    <t>A53026</t>
  </si>
  <si>
    <t>ANAMOSA</t>
  </si>
  <si>
    <t>A54002</t>
  </si>
  <si>
    <t>KESWICK</t>
  </si>
  <si>
    <t>A54004</t>
  </si>
  <si>
    <t>OLLIE</t>
  </si>
  <si>
    <t>A54010</t>
  </si>
  <si>
    <t>LYLE MINE</t>
  </si>
  <si>
    <t>VINCENNES</t>
  </si>
  <si>
    <t>A56016</t>
  </si>
  <si>
    <t>HERITAGE</t>
  </si>
  <si>
    <t>A57002</t>
  </si>
  <si>
    <t>BETENBENDER-COGGON</t>
  </si>
  <si>
    <t>A57006</t>
  </si>
  <si>
    <t>ROBINS</t>
  </si>
  <si>
    <t>A57008</t>
  </si>
  <si>
    <t>BOWSER-SPRINGVILLE</t>
  </si>
  <si>
    <t>A57018</t>
  </si>
  <si>
    <t>CEDAR RAPIDS</t>
  </si>
  <si>
    <t>A57022</t>
  </si>
  <si>
    <t>LEE CRAWFORD</t>
  </si>
  <si>
    <t>A57028</t>
  </si>
  <si>
    <t>CEDAR RAPIDS SOUTH</t>
  </si>
  <si>
    <t>A57528</t>
  </si>
  <si>
    <t>BLAIRSFERRY SAND</t>
  </si>
  <si>
    <t>A58002</t>
  </si>
  <si>
    <t>COLUMBUS JCT.</t>
  </si>
  <si>
    <t>A60502</t>
  </si>
  <si>
    <t>ROCK RAPIDS #1</t>
  </si>
  <si>
    <t>A63002</t>
  </si>
  <si>
    <t>DURHAM MINE</t>
  </si>
  <si>
    <t>A63010</t>
  </si>
  <si>
    <t>A63512</t>
  </si>
  <si>
    <t>NEW HARVEY</t>
  </si>
  <si>
    <t>A64002</t>
  </si>
  <si>
    <t>FERGUSON</t>
  </si>
  <si>
    <t>A64004</t>
  </si>
  <si>
    <t>LE GRAND</t>
  </si>
  <si>
    <t>A66002</t>
  </si>
  <si>
    <t>DUENOW</t>
  </si>
  <si>
    <t>A66016</t>
  </si>
  <si>
    <t>LESCH</t>
  </si>
  <si>
    <t>A66516</t>
  </si>
  <si>
    <t>BOERJAN</t>
  </si>
  <si>
    <t>A67502</t>
  </si>
  <si>
    <t>RODNEY</t>
  </si>
  <si>
    <t>A70002</t>
  </si>
  <si>
    <t>MOSCOW</t>
  </si>
  <si>
    <t>A70506</t>
  </si>
  <si>
    <t>ACME</t>
  </si>
  <si>
    <t>A72504</t>
  </si>
  <si>
    <t>OCHEYEDAN</t>
  </si>
  <si>
    <t>A72506</t>
  </si>
  <si>
    <t>ASHTON</t>
  </si>
  <si>
    <t>A72530</t>
  </si>
  <si>
    <t>BOYD</t>
  </si>
  <si>
    <t>A72534</t>
  </si>
  <si>
    <t>ASHTON-SEIVERT</t>
  </si>
  <si>
    <t>A73508</t>
  </si>
  <si>
    <t>SHENANDOAH-CONNELL II</t>
  </si>
  <si>
    <t>A74502</t>
  </si>
  <si>
    <t>EMMETSBURG S&amp;G</t>
  </si>
  <si>
    <t>A75502</t>
  </si>
  <si>
    <t>AKRON</t>
  </si>
  <si>
    <t>A76004</t>
  </si>
  <si>
    <t>MOORE</t>
  </si>
  <si>
    <t>A77504</t>
  </si>
  <si>
    <t>DENNY-JOHNSTON</t>
  </si>
  <si>
    <t>A77522</t>
  </si>
  <si>
    <t>EDM #2-VANDALIA</t>
  </si>
  <si>
    <t>A77530</t>
  </si>
  <si>
    <t>A77534</t>
  </si>
  <si>
    <t>SAYLORVILLE SAND</t>
  </si>
  <si>
    <t>A78504</t>
  </si>
  <si>
    <t>OAKLAND</t>
  </si>
  <si>
    <t>A79002</t>
  </si>
  <si>
    <t>MALCOM MINE</t>
  </si>
  <si>
    <t>A81502</t>
  </si>
  <si>
    <t>SACTON-LAKEVIEW</t>
  </si>
  <si>
    <t>A81504</t>
  </si>
  <si>
    <t>AUBURN</t>
  </si>
  <si>
    <t>A81514</t>
  </si>
  <si>
    <t>CARNARVON S&amp;G</t>
  </si>
  <si>
    <t>A81528</t>
  </si>
  <si>
    <t>WALL LAKE</t>
  </si>
  <si>
    <t>A81542</t>
  </si>
  <si>
    <t>WALL LAKE BOYER</t>
  </si>
  <si>
    <t>A81544</t>
  </si>
  <si>
    <t>ULMER-MEISTER</t>
  </si>
  <si>
    <t>A81546</t>
  </si>
  <si>
    <t>MEISTER</t>
  </si>
  <si>
    <t>A82002</t>
  </si>
  <si>
    <t>MCCAUSLAND(MC39)</t>
  </si>
  <si>
    <t>A82004</t>
  </si>
  <si>
    <t>NEW LIBERTY(MC41)</t>
  </si>
  <si>
    <t>A82006</t>
  </si>
  <si>
    <t>LECLAIRE(MC38)</t>
  </si>
  <si>
    <t>A82008</t>
  </si>
  <si>
    <t>LINWOOD MINE</t>
  </si>
  <si>
    <t>A83506</t>
  </si>
  <si>
    <t>HARLAN-REINIG</t>
  </si>
  <si>
    <t>A84502</t>
  </si>
  <si>
    <t>VANZEE</t>
  </si>
  <si>
    <t>A84510</t>
  </si>
  <si>
    <t>HAWARDEN-NORTH</t>
  </si>
  <si>
    <t>A84528</t>
  </si>
  <si>
    <t>HIGMAN-CHATSWORTH</t>
  </si>
  <si>
    <t>A84532</t>
  </si>
  <si>
    <t>LASSON</t>
  </si>
  <si>
    <t>A84536</t>
  </si>
  <si>
    <t>VANBEEK</t>
  </si>
  <si>
    <t>A84538</t>
  </si>
  <si>
    <t>VAN'T HUL</t>
  </si>
  <si>
    <t>A85006</t>
  </si>
  <si>
    <t>AMES MINE</t>
  </si>
  <si>
    <t>A85510</t>
  </si>
  <si>
    <t>AMES SOUTH</t>
  </si>
  <si>
    <t>A86002</t>
  </si>
  <si>
    <t>MONTOUR</t>
  </si>
  <si>
    <t>A89002</t>
  </si>
  <si>
    <t>DOUDS MINE</t>
  </si>
  <si>
    <t>A89006</t>
  </si>
  <si>
    <t>FARMINGTON-COMANCHE</t>
  </si>
  <si>
    <t>A89008</t>
  </si>
  <si>
    <t>SELMA-GARDNER</t>
  </si>
  <si>
    <t>A92002</t>
  </si>
  <si>
    <t>WEST CHESTER</t>
  </si>
  <si>
    <t>A94002</t>
  </si>
  <si>
    <t>FT DODGE MINE</t>
  </si>
  <si>
    <t>BUSKE</t>
  </si>
  <si>
    <t>A96002</t>
  </si>
  <si>
    <t>KENDALLVILLE</t>
  </si>
  <si>
    <t>A96004</t>
  </si>
  <si>
    <t>HOVEY</t>
  </si>
  <si>
    <t>A96011</t>
  </si>
  <si>
    <t>GJETLEY</t>
  </si>
  <si>
    <t>A96017</t>
  </si>
  <si>
    <t>SKYLINE B</t>
  </si>
  <si>
    <t>A96052</t>
  </si>
  <si>
    <t>ESTREM</t>
  </si>
  <si>
    <t>A96064</t>
  </si>
  <si>
    <t>STIKA</t>
  </si>
  <si>
    <t>BUSTA</t>
  </si>
  <si>
    <t>A96090</t>
  </si>
  <si>
    <t>MCKENNA SOUTH</t>
  </si>
  <si>
    <t>A97502</t>
  </si>
  <si>
    <t>CORRECTIONVILLE-BUCK</t>
  </si>
  <si>
    <t>A97516</t>
  </si>
  <si>
    <t>ANTHON</t>
  </si>
  <si>
    <t>A97518</t>
  </si>
  <si>
    <t>SMITHLAND</t>
  </si>
  <si>
    <t>A97538</t>
  </si>
  <si>
    <t>ANTHON-WRIGHT</t>
  </si>
  <si>
    <t>A98010</t>
  </si>
  <si>
    <t>FERTILE</t>
  </si>
  <si>
    <t>A98014</t>
  </si>
  <si>
    <t>STEVENS</t>
  </si>
  <si>
    <t>A98016</t>
  </si>
  <si>
    <t>EMIL OLSON-BOLTON</t>
  </si>
  <si>
    <t>A98020</t>
  </si>
  <si>
    <t>TRENHAILE</t>
  </si>
  <si>
    <t>A98502</t>
  </si>
  <si>
    <t>RANDALL TRANSIT MIX</t>
  </si>
  <si>
    <t>A98504</t>
  </si>
  <si>
    <t>A99002</t>
  </si>
  <si>
    <t>VOSS</t>
  </si>
  <si>
    <t>A99502</t>
  </si>
  <si>
    <t>WRIGHT</t>
  </si>
  <si>
    <t>AIL006</t>
  </si>
  <si>
    <t>MIDWAY(MC45)</t>
  </si>
  <si>
    <t>AIL010</t>
  </si>
  <si>
    <t>ALLIED(MC30)</t>
  </si>
  <si>
    <t>AIL014</t>
  </si>
  <si>
    <t>DALLAS CITY</t>
  </si>
  <si>
    <t>AIL016</t>
  </si>
  <si>
    <t>CLEVELAND(MC31)</t>
  </si>
  <si>
    <t>AIL020</t>
  </si>
  <si>
    <t>AMN004</t>
  </si>
  <si>
    <t>AMN006</t>
  </si>
  <si>
    <t>OTTERNESS</t>
  </si>
  <si>
    <t>AMN008</t>
  </si>
  <si>
    <t>AMN010</t>
  </si>
  <si>
    <t>ST CLOUD-GRANITE</t>
  </si>
  <si>
    <t>AMN026</t>
  </si>
  <si>
    <t>BIG STONE</t>
  </si>
  <si>
    <t>AMN030</t>
  </si>
  <si>
    <t>GENGLER</t>
  </si>
  <si>
    <t>AMN032</t>
  </si>
  <si>
    <t>COTTONWOOD</t>
  </si>
  <si>
    <t>AMN034</t>
  </si>
  <si>
    <t>ENGRAV</t>
  </si>
  <si>
    <t>AMN044</t>
  </si>
  <si>
    <t>BIESANZ</t>
  </si>
  <si>
    <t>AMN046</t>
  </si>
  <si>
    <t>43 QUARRY</t>
  </si>
  <si>
    <t>AMN052</t>
  </si>
  <si>
    <t>ABNET</t>
  </si>
  <si>
    <t>AMN522</t>
  </si>
  <si>
    <t>PRAIRIE ISLAND #3</t>
  </si>
  <si>
    <t>AMN536</t>
  </si>
  <si>
    <t>ELK RIVER</t>
  </si>
  <si>
    <t>AMN544</t>
  </si>
  <si>
    <t>LAKEVILLE</t>
  </si>
  <si>
    <t>AMN550</t>
  </si>
  <si>
    <t>SACHS</t>
  </si>
  <si>
    <t>AMN558</t>
  </si>
  <si>
    <t>ST CROIX</t>
  </si>
  <si>
    <t>AMN560</t>
  </si>
  <si>
    <t>ROSEMOUNT</t>
  </si>
  <si>
    <t>AMN566</t>
  </si>
  <si>
    <t>AMN568</t>
  </si>
  <si>
    <t>EMPIRE</t>
  </si>
  <si>
    <t>AMN570</t>
  </si>
  <si>
    <t>WINONA AGGREGATE</t>
  </si>
  <si>
    <t>AMO002</t>
  </si>
  <si>
    <t>KAHOKA</t>
  </si>
  <si>
    <t>AMO022</t>
  </si>
  <si>
    <t>IRON MT</t>
  </si>
  <si>
    <t>AMO024</t>
  </si>
  <si>
    <t>HUNTINGTON</t>
  </si>
  <si>
    <t>AMO060</t>
  </si>
  <si>
    <t>RANDOLPH MINE</t>
  </si>
  <si>
    <t>ANE002</t>
  </si>
  <si>
    <t>WEEPING WATER MINE</t>
  </si>
  <si>
    <t>ANE010</t>
  </si>
  <si>
    <t>FT CALHOUN</t>
  </si>
  <si>
    <t>ANE504</t>
  </si>
  <si>
    <t>WATERLOO #40</t>
  </si>
  <si>
    <t>ANE544</t>
  </si>
  <si>
    <t>VALLEY</t>
  </si>
  <si>
    <t>ANE548</t>
  </si>
  <si>
    <t>ANE560</t>
  </si>
  <si>
    <t>ANE564</t>
  </si>
  <si>
    <t>ANE566</t>
  </si>
  <si>
    <t>PLANT #52</t>
  </si>
  <si>
    <t>ASD002</t>
  </si>
  <si>
    <t>ASD004</t>
  </si>
  <si>
    <t>SIOUX FALLS QUARTZITE</t>
  </si>
  <si>
    <t>ASD006</t>
  </si>
  <si>
    <t>EAST SIOUX</t>
  </si>
  <si>
    <t>ASD526</t>
  </si>
  <si>
    <t>CORSON</t>
  </si>
  <si>
    <t>AWI022</t>
  </si>
  <si>
    <t>KINGS BLUFF</t>
  </si>
  <si>
    <t>AWI030</t>
  </si>
  <si>
    <t>HAVERLAND</t>
  </si>
  <si>
    <t>AWI044</t>
  </si>
  <si>
    <t>SLAMA</t>
  </si>
  <si>
    <t>AWI046</t>
  </si>
  <si>
    <t>HAHN</t>
  </si>
  <si>
    <t>AWI502</t>
  </si>
  <si>
    <t>PRAIRIE DU CHIEN</t>
  </si>
  <si>
    <t>AWI504</t>
  </si>
  <si>
    <t>AWI514</t>
  </si>
  <si>
    <t>HAGER CITY</t>
  </si>
  <si>
    <t>AWI524</t>
  </si>
  <si>
    <t>HAEF</t>
  </si>
  <si>
    <t>AWI528</t>
  </si>
  <si>
    <t>A07504</t>
  </si>
  <si>
    <t>WATERLOO SAND</t>
  </si>
  <si>
    <t>A07506</t>
  </si>
  <si>
    <t>ASPRO</t>
  </si>
  <si>
    <t>A07512</t>
  </si>
  <si>
    <t>ZEIEN S&amp;G</t>
  </si>
  <si>
    <t>A07518</t>
  </si>
  <si>
    <t>JANESVILLE</t>
  </si>
  <si>
    <t>A09510</t>
  </si>
  <si>
    <t>PLAINFIELD/ADAMS</t>
  </si>
  <si>
    <t>A09512</t>
  </si>
  <si>
    <t>BOEVERS</t>
  </si>
  <si>
    <t>A10516</t>
  </si>
  <si>
    <t>A10520</t>
  </si>
  <si>
    <t>A10522</t>
  </si>
  <si>
    <t>NIEMANN-DECKER</t>
  </si>
  <si>
    <t>A10524</t>
  </si>
  <si>
    <t>CRAWFORD</t>
  </si>
  <si>
    <t>A12518</t>
  </si>
  <si>
    <t>SHELL ROCK-ADAMS</t>
  </si>
  <si>
    <t>A12520</t>
  </si>
  <si>
    <t>PARKERSBURG</t>
  </si>
  <si>
    <t>A12522</t>
  </si>
  <si>
    <t>HOBSON</t>
  </si>
  <si>
    <t>KRUSE</t>
  </si>
  <si>
    <t>A13504</t>
  </si>
  <si>
    <t>A13506</t>
  </si>
  <si>
    <t>MOHR</t>
  </si>
  <si>
    <t>A16502</t>
  </si>
  <si>
    <t>SHARPLISS</t>
  </si>
  <si>
    <t>A16506</t>
  </si>
  <si>
    <t>A16510</t>
  </si>
  <si>
    <t>CEDAR BLUFF</t>
  </si>
  <si>
    <t>A17520</t>
  </si>
  <si>
    <t>TUTTLE</t>
  </si>
  <si>
    <t>A19508</t>
  </si>
  <si>
    <t>A19512</t>
  </si>
  <si>
    <t>PEARL ROCK</t>
  </si>
  <si>
    <t>A19514</t>
  </si>
  <si>
    <t>NASHUA</t>
  </si>
  <si>
    <t>A19516</t>
  </si>
  <si>
    <t>REWOLDT</t>
  </si>
  <si>
    <t>A22510</t>
  </si>
  <si>
    <t>BENTE</t>
  </si>
  <si>
    <t>A22520</t>
  </si>
  <si>
    <t>WELTERLEN</t>
  </si>
  <si>
    <t>A22522</t>
  </si>
  <si>
    <t>A23506</t>
  </si>
  <si>
    <t>SCHNECKLOTH</t>
  </si>
  <si>
    <t>A23514</t>
  </si>
  <si>
    <t>A23516</t>
  </si>
  <si>
    <t>OLSON</t>
  </si>
  <si>
    <t>A26502</t>
  </si>
  <si>
    <t>ELDON-FRANKLIN</t>
  </si>
  <si>
    <t>A28520</t>
  </si>
  <si>
    <t>A30526</t>
  </si>
  <si>
    <t>A31514</t>
  </si>
  <si>
    <t>A31516</t>
  </si>
  <si>
    <t>CASCADE-LOCHER</t>
  </si>
  <si>
    <t>A31518</t>
  </si>
  <si>
    <t>MAIERS</t>
  </si>
  <si>
    <t>A32544</t>
  </si>
  <si>
    <t>A33506</t>
  </si>
  <si>
    <t>ALPHA</t>
  </si>
  <si>
    <t>A33510</t>
  </si>
  <si>
    <t>RANDALIA</t>
  </si>
  <si>
    <t>A33518</t>
  </si>
  <si>
    <t>BASSETT</t>
  </si>
  <si>
    <t>A33520</t>
  </si>
  <si>
    <t>OELWEIN SAND</t>
  </si>
  <si>
    <t>A33522</t>
  </si>
  <si>
    <t>A33524</t>
  </si>
  <si>
    <t>ROGERS</t>
  </si>
  <si>
    <t>A33528</t>
  </si>
  <si>
    <t>KASEMEIER</t>
  </si>
  <si>
    <t>A34522</t>
  </si>
  <si>
    <t>A38504</t>
  </si>
  <si>
    <t>HERONIMOUS</t>
  </si>
  <si>
    <t>A38506</t>
  </si>
  <si>
    <t>MEESTER</t>
  </si>
  <si>
    <t>A39508</t>
  </si>
  <si>
    <t>L &amp; L</t>
  </si>
  <si>
    <t>A40512</t>
  </si>
  <si>
    <t>A42512</t>
  </si>
  <si>
    <t>HARDIN AGGREGATES</t>
  </si>
  <si>
    <t>A42532</t>
  </si>
  <si>
    <t>H &amp; M FARMS</t>
  </si>
  <si>
    <t>A44502</t>
  </si>
  <si>
    <t>NORTH ROME</t>
  </si>
  <si>
    <t>A44504</t>
  </si>
  <si>
    <t>ENSMINGER-ROME</t>
  </si>
  <si>
    <t>A44506</t>
  </si>
  <si>
    <t>COPPOCK SAND</t>
  </si>
  <si>
    <t>A45516</t>
  </si>
  <si>
    <t>FREIDERICH</t>
  </si>
  <si>
    <t>A45518</t>
  </si>
  <si>
    <t>A45520</t>
  </si>
  <si>
    <t>HOOVER</t>
  </si>
  <si>
    <t>A46516</t>
  </si>
  <si>
    <t>A48508</t>
  </si>
  <si>
    <t>DISTERHOFT</t>
  </si>
  <si>
    <t>A50504</t>
  </si>
  <si>
    <t>REASNOR</t>
  </si>
  <si>
    <t>A52508</t>
  </si>
  <si>
    <t>A52510</t>
  </si>
  <si>
    <t>RIVERSIDE #2</t>
  </si>
  <si>
    <t>A53522</t>
  </si>
  <si>
    <t>A53528</t>
  </si>
  <si>
    <t>A53530</t>
  </si>
  <si>
    <t>ANAMOSA-WOOD'S</t>
  </si>
  <si>
    <t>A53532</t>
  </si>
  <si>
    <t>LOES</t>
  </si>
  <si>
    <t>A56504</t>
  </si>
  <si>
    <t>A56506</t>
  </si>
  <si>
    <t>FT MADISON</t>
  </si>
  <si>
    <t>A56508</t>
  </si>
  <si>
    <t>LEE COUNTY S &amp; G</t>
  </si>
  <si>
    <t>A57520</t>
  </si>
  <si>
    <t>IVANHOE</t>
  </si>
  <si>
    <t>A57530</t>
  </si>
  <si>
    <t>HESS</t>
  </si>
  <si>
    <t>A57534</t>
  </si>
  <si>
    <t>LINN COUNTY SAND</t>
  </si>
  <si>
    <t>A57536</t>
  </si>
  <si>
    <t>POWER PLANT</t>
  </si>
  <si>
    <t>A58504</t>
  </si>
  <si>
    <t>FREDONIA</t>
  </si>
  <si>
    <t>A62502</t>
  </si>
  <si>
    <t>G71</t>
  </si>
  <si>
    <t>A66502</t>
  </si>
  <si>
    <t>OSAGE-SCHMIDT</t>
  </si>
  <si>
    <t>A66512</t>
  </si>
  <si>
    <t>KLAAHSEN</t>
  </si>
  <si>
    <t>A66514</t>
  </si>
  <si>
    <t>LOVIK</t>
  </si>
  <si>
    <t>A66520</t>
  </si>
  <si>
    <t>A71504</t>
  </si>
  <si>
    <t>RABE PAULLINA</t>
  </si>
  <si>
    <t>A71536</t>
  </si>
  <si>
    <t>PHLOW CREEK</t>
  </si>
  <si>
    <t>A72524</t>
  </si>
  <si>
    <t>BOERHAVE</t>
  </si>
  <si>
    <t>A72532</t>
  </si>
  <si>
    <t>A75524</t>
  </si>
  <si>
    <t>G DIRKSEN #2</t>
  </si>
  <si>
    <t>A75526</t>
  </si>
  <si>
    <t>FRITZ DIRKSEN</t>
  </si>
  <si>
    <t>A76514</t>
  </si>
  <si>
    <t>A81506</t>
  </si>
  <si>
    <t>SAC CITY</t>
  </si>
  <si>
    <t>A81520</t>
  </si>
  <si>
    <t>UREN</t>
  </si>
  <si>
    <t>A81530</t>
  </si>
  <si>
    <t>LEITZ NORTH</t>
  </si>
  <si>
    <t>A81534</t>
  </si>
  <si>
    <t>EARLY</t>
  </si>
  <si>
    <t>A81536</t>
  </si>
  <si>
    <t>DAIKER</t>
  </si>
  <si>
    <t>A81550</t>
  </si>
  <si>
    <t>A84506</t>
  </si>
  <si>
    <t>HUDSON-OSTERCAMP</t>
  </si>
  <si>
    <t>A86502</t>
  </si>
  <si>
    <t>FLINT</t>
  </si>
  <si>
    <t>A90506</t>
  </si>
  <si>
    <t>A90508</t>
  </si>
  <si>
    <t>STEVENSON</t>
  </si>
  <si>
    <t>A90510</t>
  </si>
  <si>
    <t>CHILLICOTHE</t>
  </si>
  <si>
    <t>A92502</t>
  </si>
  <si>
    <t>RIVERSIDE</t>
  </si>
  <si>
    <t>A94502</t>
  </si>
  <si>
    <t>YATES</t>
  </si>
  <si>
    <t>A94522</t>
  </si>
  <si>
    <t>CROFT</t>
  </si>
  <si>
    <t>A94526</t>
  </si>
  <si>
    <t>A94532</t>
  </si>
  <si>
    <t>REIGELSBERGER</t>
  </si>
  <si>
    <t>A96502</t>
  </si>
  <si>
    <t>DECORAH</t>
  </si>
  <si>
    <t>A96506</t>
  </si>
  <si>
    <t>FREEPORT</t>
  </si>
  <si>
    <t>A96520</t>
  </si>
  <si>
    <t>SWEDES BOTTOM</t>
  </si>
  <si>
    <t>A96528</t>
  </si>
  <si>
    <t>A96530</t>
  </si>
  <si>
    <t>CARLSON-FREEPORT</t>
  </si>
  <si>
    <t>A97528</t>
  </si>
  <si>
    <t>EDWARDS</t>
  </si>
  <si>
    <t>A97532</t>
  </si>
  <si>
    <t>CREASEY</t>
  </si>
  <si>
    <t>A99510</t>
  </si>
  <si>
    <t>MEINEKE</t>
  </si>
  <si>
    <t>A99524</t>
  </si>
  <si>
    <t>STECHER</t>
  </si>
  <si>
    <t>AIL028</t>
  </si>
  <si>
    <t>AIL522</t>
  </si>
  <si>
    <t>CORDOVA INLAND (MC17)</t>
  </si>
  <si>
    <t>AIL526</t>
  </si>
  <si>
    <t>BLUFF CITY SAND</t>
  </si>
  <si>
    <t>AMN516</t>
  </si>
  <si>
    <t>AMN518</t>
  </si>
  <si>
    <t>AMN538</t>
  </si>
  <si>
    <t>SHADE</t>
  </si>
  <si>
    <t>AMN552</t>
  </si>
  <si>
    <t>WINDMILL</t>
  </si>
  <si>
    <t>AMN554</t>
  </si>
  <si>
    <t>ANNENDALE</t>
  </si>
  <si>
    <t>AMN562</t>
  </si>
  <si>
    <t>LUVERNE</t>
  </si>
  <si>
    <t>AMN572</t>
  </si>
  <si>
    <t>KUESTER #3</t>
  </si>
  <si>
    <t>AMO502</t>
  </si>
  <si>
    <t>WAYLAND</t>
  </si>
  <si>
    <t>AMO516</t>
  </si>
  <si>
    <t>MOUNT MORIAH</t>
  </si>
  <si>
    <t>AMO520</t>
  </si>
  <si>
    <t>STANBERRY</t>
  </si>
  <si>
    <t>AMO524</t>
  </si>
  <si>
    <t>CS61 LAGRANGE S&amp;G</t>
  </si>
  <si>
    <t>ANE552</t>
  </si>
  <si>
    <t>ASD522</t>
  </si>
  <si>
    <t>BROOKINGS</t>
  </si>
  <si>
    <t>ASD528</t>
  </si>
  <si>
    <t>AWI506</t>
  </si>
  <si>
    <t>KRAMER</t>
  </si>
  <si>
    <t>AWI508</t>
  </si>
  <si>
    <t>BARN</t>
  </si>
  <si>
    <t>AWI516</t>
  </si>
  <si>
    <t>SCHEER</t>
  </si>
  <si>
    <t>AWI522</t>
  </si>
  <si>
    <t>RIB FALLS PLANT</t>
  </si>
  <si>
    <t>AWI526</t>
  </si>
  <si>
    <t>MILAS</t>
  </si>
  <si>
    <t>Ash Grove - Louisville</t>
  </si>
  <si>
    <t>PC0003</t>
  </si>
  <si>
    <t>PC0008</t>
  </si>
  <si>
    <t>Ash Grove - Chanute</t>
  </si>
  <si>
    <t>PC0103</t>
  </si>
  <si>
    <t>PC0108</t>
  </si>
  <si>
    <t>PC0203</t>
  </si>
  <si>
    <t>PC0403</t>
  </si>
  <si>
    <t>PC0409</t>
  </si>
  <si>
    <t>PC0703</t>
  </si>
  <si>
    <t>Monarch - Humboldt</t>
  </si>
  <si>
    <t>PC0803</t>
  </si>
  <si>
    <t>GCC - Rapid City</t>
  </si>
  <si>
    <t>PC1003</t>
  </si>
  <si>
    <t>PC1008</t>
  </si>
  <si>
    <t>Buzzi - Pryor</t>
  </si>
  <si>
    <t>Buzzi - Cape Girardeau</t>
  </si>
  <si>
    <t>PC1702</t>
  </si>
  <si>
    <t>St Marys - Ontario</t>
  </si>
  <si>
    <t>PC2008</t>
  </si>
  <si>
    <t>GCC - Pueblo</t>
  </si>
  <si>
    <t>Buzzi - Festus</t>
  </si>
  <si>
    <t>PC3209</t>
  </si>
  <si>
    <t>PC3302</t>
  </si>
  <si>
    <t>St Marys - Charlevoix</t>
  </si>
  <si>
    <t>C</t>
  </si>
  <si>
    <t>FA001C</t>
  </si>
  <si>
    <t>Coal Creek Power Plant</t>
  </si>
  <si>
    <t>CF</t>
  </si>
  <si>
    <t>FA004C</t>
  </si>
  <si>
    <t>Council Bluffs Unit #3</t>
  </si>
  <si>
    <t>FA005C</t>
  </si>
  <si>
    <t xml:space="preserve">Iatan Generating Station, Unit #2 </t>
  </si>
  <si>
    <t>FA007C</t>
  </si>
  <si>
    <t>Iatan Generating Station, Unit #1</t>
  </si>
  <si>
    <t>FA009C</t>
  </si>
  <si>
    <t>Louisa Generating Station</t>
  </si>
  <si>
    <t>FA010C</t>
  </si>
  <si>
    <t>Muscatine Power &amp; Water</t>
  </si>
  <si>
    <t>FA011C</t>
  </si>
  <si>
    <t>Nebraska City Station</t>
  </si>
  <si>
    <t>FA012C</t>
  </si>
  <si>
    <t>North Omaha Generating Station</t>
  </si>
  <si>
    <t>FA013C</t>
  </si>
  <si>
    <t>Ottumwa Generating Station</t>
  </si>
  <si>
    <t>FA015C</t>
  </si>
  <si>
    <t>Port Neal Power Plant #3, #4 or Combined</t>
  </si>
  <si>
    <t>FA017F</t>
  </si>
  <si>
    <t>Joliet Generating Station</t>
  </si>
  <si>
    <t>F</t>
  </si>
  <si>
    <t>FA018C</t>
  </si>
  <si>
    <t>M.L. Kapp Generating Station</t>
  </si>
  <si>
    <t>FA020C</t>
  </si>
  <si>
    <t>Edgewater Unit #5 Generating Station</t>
  </si>
  <si>
    <t>FA022C</t>
  </si>
  <si>
    <t>Labadie Power Plant Labadie</t>
  </si>
  <si>
    <t>FA025C</t>
  </si>
  <si>
    <t>Thomas Hill Energy Center</t>
  </si>
  <si>
    <t>FA026C</t>
  </si>
  <si>
    <t>Weston Generating Station</t>
  </si>
  <si>
    <t>FA028C</t>
  </si>
  <si>
    <t>Gerald Gentleman Station, Unit #1</t>
  </si>
  <si>
    <t>FA032C</t>
  </si>
  <si>
    <t>J.P. Madgett Station, Dairyland, Poz AC</t>
  </si>
  <si>
    <t>FA033C</t>
  </si>
  <si>
    <t>Northeastern Generating Station</t>
  </si>
  <si>
    <t>FA034C</t>
  </si>
  <si>
    <t>Genoa Power Station #3, Dairyland</t>
  </si>
  <si>
    <t>FA035C</t>
  </si>
  <si>
    <t>La Cygne Station Power Plant, Unit #2</t>
  </si>
  <si>
    <t>FA036C</t>
  </si>
  <si>
    <t>Montrose Station Power Plant, Unit #3</t>
  </si>
  <si>
    <t>FA037C</t>
  </si>
  <si>
    <t>Elm Road Generating Station Combined</t>
  </si>
  <si>
    <t>FA038F</t>
  </si>
  <si>
    <t>Petersburg Generating Station, Unit #3</t>
  </si>
  <si>
    <t>FA039C</t>
  </si>
  <si>
    <t>Clay Boswell Generating Station, Unit #3</t>
  </si>
  <si>
    <t>FA041C</t>
  </si>
  <si>
    <t>Prairie Creek Generating Station, Unit #3</t>
  </si>
  <si>
    <t>FA042C</t>
  </si>
  <si>
    <t>Muskogee Generating Station</t>
  </si>
  <si>
    <t>FA043F</t>
  </si>
  <si>
    <t>Durapoz F</t>
  </si>
  <si>
    <t>FA044C</t>
  </si>
  <si>
    <t>Dynegy Newton Power Station</t>
  </si>
  <si>
    <t>FA045C</t>
  </si>
  <si>
    <t>Oak Creek Power Station</t>
  </si>
  <si>
    <t>FA046F</t>
  </si>
  <si>
    <t>Praire State Generating Station</t>
  </si>
  <si>
    <t>FA137F</t>
  </si>
  <si>
    <t>Elm Road Generating Station Unit #1</t>
  </si>
  <si>
    <t>FA237F</t>
  </si>
  <si>
    <t>Elm Road Generating Station Unit #2</t>
  </si>
  <si>
    <t>SL02A</t>
  </si>
  <si>
    <t>NewCem</t>
  </si>
  <si>
    <t>SL00A</t>
  </si>
  <si>
    <t>Skyway Cement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</si>
  <si>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</si>
  <si>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</si>
  <si>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</si>
  <si>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</si>
  <si>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</si>
  <si>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</si>
  <si>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</si>
  <si>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</si>
  <si>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</si>
  <si>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</si>
  <si>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</si>
  <si>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</si>
  <si>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</si>
  <si>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</si>
  <si>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</si>
  <si>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</si>
  <si>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</si>
  <si>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</si>
  <si>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</si>
  <si>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</si>
  <si>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</si>
  <si>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</si>
  <si>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</si>
  <si>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</si>
  <si>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</si>
  <si>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</si>
  <si>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</si>
  <si>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</si>
  <si>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</si>
  <si>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</si>
  <si>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</si>
  <si>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</si>
  <si>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</si>
  <si>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</si>
  <si>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</si>
  <si>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</si>
  <si>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</si>
  <si>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</si>
  <si>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</si>
  <si>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</si>
  <si>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</si>
  <si>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</si>
  <si>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</si>
  <si>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</si>
  <si>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</si>
  <si>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</si>
  <si>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</si>
  <si>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</si>
  <si>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</si>
  <si>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</si>
  <si>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</si>
  <si>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</si>
  <si>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</si>
  <si>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</si>
  <si>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</si>
  <si>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</si>
  <si>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</si>
  <si>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</si>
  <si>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</si>
  <si>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</si>
  <si>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</si>
  <si>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</si>
  <si>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</si>
  <si>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</si>
  <si>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</si>
  <si>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</si>
  <si>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</si>
  <si>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</si>
  <si>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</si>
  <si>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</si>
  <si>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</si>
  <si>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</si>
  <si>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</si>
  <si>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</si>
  <si>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</si>
  <si>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</si>
  <si>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</si>
  <si>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</si>
  <si>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</si>
  <si>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</si>
  <si>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</si>
  <si>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</si>
  <si>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</si>
  <si>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</si>
  <si>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</si>
  <si>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</si>
  <si>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</si>
  <si>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</si>
  <si>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</si>
  <si>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</si>
  <si>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</si>
  <si>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</si>
  <si>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</si>
  <si>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</si>
  <si>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</si>
  <si>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</si>
  <si>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</si>
  <si>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</si>
  <si>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</si>
  <si>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Certified Mix Designer:</t>
  </si>
  <si>
    <t>Certification Number:</t>
  </si>
  <si>
    <t/>
  </si>
  <si>
    <t>X</t>
  </si>
  <si>
    <t>MCM</t>
  </si>
  <si>
    <t>Alternate Source Not Listed</t>
  </si>
  <si>
    <t>C. Barko</t>
  </si>
  <si>
    <t>PC3602</t>
  </si>
  <si>
    <t>GCC - Samalayuca</t>
  </si>
  <si>
    <t>PC3603</t>
  </si>
  <si>
    <t>Air Plus</t>
  </si>
  <si>
    <t>Fritz-Pak</t>
  </si>
  <si>
    <t>Airalon 3000</t>
  </si>
  <si>
    <t>Airalon 7000</t>
  </si>
  <si>
    <t>Chryso Air 260</t>
  </si>
  <si>
    <t>CHRYSO Inc</t>
  </si>
  <si>
    <t>ConAir 260</t>
  </si>
  <si>
    <t>Premiere Admix.</t>
  </si>
  <si>
    <t>ConAir X</t>
  </si>
  <si>
    <t>Daravair 1000</t>
  </si>
  <si>
    <t>Daravair 1400</t>
  </si>
  <si>
    <t>Daravair AT 30</t>
  </si>
  <si>
    <t>Daravair AT 60</t>
  </si>
  <si>
    <t>Daravair M</t>
  </si>
  <si>
    <t>Darex II AEA</t>
  </si>
  <si>
    <t>Eucon AEA-92</t>
  </si>
  <si>
    <t>Euclid</t>
  </si>
  <si>
    <t>Eucon AEA-92S</t>
  </si>
  <si>
    <t>Eucon Air MAC12</t>
  </si>
  <si>
    <t>Eucon Air MAC6</t>
  </si>
  <si>
    <t>Eucon Air Mix</t>
  </si>
  <si>
    <t>MasterAir AE 200</t>
  </si>
  <si>
    <t>BASF</t>
  </si>
  <si>
    <t>MasterAir AE 400</t>
  </si>
  <si>
    <t>MasterAir AE 90</t>
  </si>
  <si>
    <t>MasterAir VR 10</t>
  </si>
  <si>
    <t>Miracon 2315</t>
  </si>
  <si>
    <t>Miracon Tech.</t>
  </si>
  <si>
    <t>RAE-260</t>
  </si>
  <si>
    <t>RussTech, Inc.</t>
  </si>
  <si>
    <t>RSA-10</t>
  </si>
  <si>
    <t>Sika AEA-14</t>
  </si>
  <si>
    <t>Sika</t>
  </si>
  <si>
    <t>Sika AER-C</t>
  </si>
  <si>
    <t>Sika Air</t>
  </si>
  <si>
    <t>Sika Air-260</t>
  </si>
  <si>
    <t>Sika Air-360</t>
  </si>
  <si>
    <t>SikaControl AIR-160</t>
  </si>
  <si>
    <t>Stable Air</t>
  </si>
  <si>
    <t>CCT</t>
  </si>
  <si>
    <t>Super Air Plus</t>
  </si>
  <si>
    <t>Terapave AEA</t>
  </si>
  <si>
    <t>Accelguard G3</t>
  </si>
  <si>
    <t>Chryso Fluid Optima 256</t>
  </si>
  <si>
    <t>Clarena MC 2000</t>
  </si>
  <si>
    <t>Concera SA8080</t>
  </si>
  <si>
    <t>Eucon MRX</t>
  </si>
  <si>
    <t>Eucon SE</t>
  </si>
  <si>
    <t>Eucon WR</t>
  </si>
  <si>
    <t>Eucon WR-75</t>
  </si>
  <si>
    <t>Eucon WR-91</t>
  </si>
  <si>
    <t>Extendflo X90</t>
  </si>
  <si>
    <t>RussTech</t>
  </si>
  <si>
    <t>FinishEase-NC</t>
  </si>
  <si>
    <t>LC-400P</t>
  </si>
  <si>
    <t>MIRA 95</t>
  </si>
  <si>
    <t>MasterGlenium 1466</t>
  </si>
  <si>
    <t>MasterGlenium 3030</t>
  </si>
  <si>
    <t>MasterGlenium 7920</t>
  </si>
  <si>
    <t>MasterPolyheed 900</t>
  </si>
  <si>
    <t>MasterPozzolith 200</t>
  </si>
  <si>
    <t>MasterPozzolith 322</t>
  </si>
  <si>
    <t>MasterPozzolith 700</t>
  </si>
  <si>
    <t>MasterPozzolith 80</t>
  </si>
  <si>
    <t>OptiFlo 500</t>
  </si>
  <si>
    <t>Premiere Admix</t>
  </si>
  <si>
    <t>OptiFlo 700</t>
  </si>
  <si>
    <t>Plastol 6420</t>
  </si>
  <si>
    <t>Polychem 3000</t>
  </si>
  <si>
    <t>Sika ViscoFlow-2020</t>
  </si>
  <si>
    <t>Sikament 686</t>
  </si>
  <si>
    <t>Sikament-475</t>
  </si>
  <si>
    <t>Superflo 2000 RM</t>
  </si>
  <si>
    <t>Superflo 2000 SCC</t>
  </si>
  <si>
    <t>Superflo 2040 RM</t>
  </si>
  <si>
    <t>WRDA 82</t>
  </si>
  <si>
    <t>ZYLA 620</t>
  </si>
  <si>
    <t>ZYLA 630</t>
  </si>
  <si>
    <t>ZYLA 640</t>
  </si>
  <si>
    <t>ADVA 140M</t>
  </si>
  <si>
    <t>ADVA 190</t>
  </si>
  <si>
    <t>ADVA 195</t>
  </si>
  <si>
    <t>ADVA 198</t>
  </si>
  <si>
    <t>ADVA 405</t>
  </si>
  <si>
    <t>ADVA Cast 555</t>
  </si>
  <si>
    <t>ADVA Cast 575</t>
  </si>
  <si>
    <t>ADVA Cast 585</t>
  </si>
  <si>
    <t>ADVA Cast 600</t>
  </si>
  <si>
    <t>ADVA ITM750</t>
  </si>
  <si>
    <t>Daracem 19</t>
  </si>
  <si>
    <t>Dynamon SX</t>
  </si>
  <si>
    <t>Eucon 1037</t>
  </si>
  <si>
    <t>Eucon 37</t>
  </si>
  <si>
    <t>MIRA 110</t>
  </si>
  <si>
    <t>MIRA 62</t>
  </si>
  <si>
    <t>MasterGlenium 3400</t>
  </si>
  <si>
    <t>MasterGlenium 7500</t>
  </si>
  <si>
    <t>MasterGlenium 7700</t>
  </si>
  <si>
    <t>MasterRheobuild 1000</t>
  </si>
  <si>
    <t>Plastol 341</t>
  </si>
  <si>
    <t>Plastol 341-S</t>
  </si>
  <si>
    <t>Plastol 5000</t>
  </si>
  <si>
    <t>Plastol 6400</t>
  </si>
  <si>
    <t>Plastol Ultra 209</t>
  </si>
  <si>
    <t>Polychem SPC</t>
  </si>
  <si>
    <t>Sika ViscoCrete 1000</t>
  </si>
  <si>
    <t>Sika ViscoCrete 2100</t>
  </si>
  <si>
    <t>Sika ViscoCrete 2110</t>
  </si>
  <si>
    <t>Sika ViscoCrete 4100</t>
  </si>
  <si>
    <t>Sika ViscoCrete 6100</t>
  </si>
  <si>
    <t>Sikament AFM</t>
  </si>
  <si>
    <t>Sikament SPMN</t>
  </si>
  <si>
    <t xml:space="preserve">Supercizer 5 </t>
  </si>
  <si>
    <t>Supercizer 7</t>
  </si>
  <si>
    <t>UltraFlo 2000</t>
  </si>
  <si>
    <t>UltraFlo 5600</t>
  </si>
  <si>
    <t>UltraFlo DP</t>
  </si>
  <si>
    <t>Daratard 17</t>
  </si>
  <si>
    <t>Eucon Retarder 100</t>
  </si>
  <si>
    <t>Eucon Stasis</t>
  </si>
  <si>
    <t>LC-400R</t>
  </si>
  <si>
    <t>MasterSet Delvo</t>
  </si>
  <si>
    <t>MasterSet Delvo ESC</t>
  </si>
  <si>
    <t>MasterSet R 100</t>
  </si>
  <si>
    <t>MasterSet R 300</t>
  </si>
  <si>
    <t>Polychem Renu</t>
  </si>
  <si>
    <t>ProLong L</t>
  </si>
  <si>
    <t>RECOVER</t>
  </si>
  <si>
    <t>RENU</t>
  </si>
  <si>
    <t>SikaTard 440</t>
  </si>
  <si>
    <t>Standard Delayed Set</t>
  </si>
  <si>
    <t>V-Mar VSC 500</t>
  </si>
  <si>
    <t>Master X-Seed 55</t>
  </si>
  <si>
    <t>MasterMatrix VMA 358</t>
  </si>
  <si>
    <t>MasterMatrix VMA 362</t>
  </si>
  <si>
    <t>MasterPel 240</t>
  </si>
  <si>
    <t>MasterSure Z-60</t>
  </si>
  <si>
    <t>SikaControl NS</t>
  </si>
  <si>
    <t>Slick-Pak</t>
  </si>
  <si>
    <t>Slick-Pak II</t>
  </si>
  <si>
    <t>Stabilizer-4R</t>
  </si>
  <si>
    <t>Super Slump Buster</t>
  </si>
  <si>
    <t>V-Mar 3</t>
  </si>
  <si>
    <t>Visctrol</t>
  </si>
  <si>
    <t>FIB-300</t>
  </si>
  <si>
    <t>FiberForce 300</t>
  </si>
  <si>
    <t>ABC</t>
  </si>
  <si>
    <t>FiberForce 750</t>
  </si>
  <si>
    <t>Forta-Ferro</t>
  </si>
  <si>
    <t>Forta</t>
  </si>
  <si>
    <t>GRT Polymesh Fibrillated Fiber</t>
  </si>
  <si>
    <t>MasterFiber F 100</t>
  </si>
  <si>
    <t>MasterFiber F 70</t>
  </si>
  <si>
    <t>MasterFiber MAC 360 FF</t>
  </si>
  <si>
    <t>MasterFiber MAC Matrix</t>
  </si>
  <si>
    <t>PSI Fiberstrand F</t>
  </si>
  <si>
    <t>STRUX 75/32</t>
  </si>
  <si>
    <t>STRUX 90/40</t>
  </si>
  <si>
    <t>TUF-STRAND SF</t>
  </si>
  <si>
    <t>TUF-STRAND SuperMix SP</t>
  </si>
  <si>
    <t xml:space="preserve">Normal Water Reducer: </t>
  </si>
  <si>
    <t xml:space="preserve">Mid-Range Water Reducer: </t>
  </si>
  <si>
    <t xml:space="preserve">High-Range Water Reducer: </t>
  </si>
  <si>
    <t xml:space="preserve">Special Performance Admixture: </t>
  </si>
  <si>
    <t xml:space="preserve">Fibers: </t>
  </si>
  <si>
    <t xml:space="preserve">Pounds Per Cubic Yard: </t>
  </si>
  <si>
    <t>POWER 45 DATA</t>
  </si>
  <si>
    <t>Tarantula Curve</t>
  </si>
  <si>
    <t>OPTIMIZATION</t>
  </si>
  <si>
    <t>Sieve</t>
  </si>
  <si>
    <t>Size (um)</t>
  </si>
  <si>
    <t>Size^0.45</t>
  </si>
  <si>
    <t>%Passing</t>
  </si>
  <si>
    <t>%Retained</t>
  </si>
  <si>
    <t>3 Agg CW Optimization</t>
  </si>
  <si>
    <t>3 Agg 8/18 Optimization</t>
  </si>
  <si>
    <t>3 Agg Combined Optimization All</t>
  </si>
  <si>
    <t>3 Agg Combined Optimization 1/2, 3/8</t>
  </si>
  <si>
    <t>2 Agg CW Optimization</t>
  </si>
  <si>
    <t>2 Agg 8/18 Optimization</t>
  </si>
  <si>
    <t>2 Agg Combined Optimization All</t>
  </si>
  <si>
    <t>2 Agg Combined Optimization 1/2, 3/8</t>
  </si>
  <si>
    <t>Passing</t>
  </si>
  <si>
    <t>#200</t>
  </si>
  <si>
    <t>Mineral</t>
  </si>
  <si>
    <t>#100</t>
  </si>
  <si>
    <t>Sieve Size</t>
  </si>
  <si>
    <t>Admixture</t>
  </si>
  <si>
    <t>#50</t>
  </si>
  <si>
    <t>#30</t>
  </si>
  <si>
    <t>#325</t>
  </si>
  <si>
    <t>#16</t>
  </si>
  <si>
    <t>#8</t>
  </si>
  <si>
    <t>% Total</t>
  </si>
  <si>
    <t>#4</t>
  </si>
  <si>
    <t>Aggregate</t>
  </si>
  <si>
    <t>A Number &amp; Location</t>
  </si>
  <si>
    <t>3/8</t>
  </si>
  <si>
    <t>1/2</t>
  </si>
  <si>
    <t>% Interm.</t>
  </si>
  <si>
    <t>3/4</t>
  </si>
  <si>
    <t>1 1/2</t>
  </si>
  <si>
    <t>(dependent on MIX DESIGN)</t>
  </si>
  <si>
    <t>Retained</t>
  </si>
  <si>
    <t>Coarse</t>
  </si>
  <si>
    <t>Intermediate</t>
  </si>
  <si>
    <t>Fine</t>
  </si>
  <si>
    <t>(Combined Agg)</t>
  </si>
  <si>
    <t>Paste</t>
  </si>
  <si>
    <t>(Combined Tot)</t>
  </si>
  <si>
    <t>CW DATA</t>
  </si>
  <si>
    <t>1 1/2"</t>
  </si>
  <si>
    <t>1"</t>
  </si>
  <si>
    <t>3/4"</t>
  </si>
  <si>
    <t>1/2"</t>
  </si>
  <si>
    <t>3/8"</t>
  </si>
  <si>
    <t>-</t>
  </si>
  <si>
    <t>Liquid</t>
  </si>
  <si>
    <t>Cummulative</t>
  </si>
  <si>
    <t>% Retained</t>
  </si>
  <si>
    <t xml:space="preserve">Weight </t>
  </si>
  <si>
    <t>(Individual)</t>
  </si>
  <si>
    <t>(lbs)</t>
  </si>
  <si>
    <t>Pan</t>
  </si>
  <si>
    <r>
      <t>1</t>
    </r>
    <r>
      <rPr>
        <b/>
        <i/>
        <sz val="11"/>
        <rFont val="Arial"/>
        <family val="2"/>
      </rPr>
      <t xml:space="preserve"> Coarseness Factor =</t>
    </r>
  </si>
  <si>
    <r>
      <t>1</t>
    </r>
    <r>
      <rPr>
        <b/>
        <i/>
        <sz val="11"/>
        <rFont val="Arial"/>
        <family val="2"/>
      </rPr>
      <t xml:space="preserve"> Workability Factor =</t>
    </r>
  </si>
  <si>
    <t>#8-30</t>
  </si>
  <si>
    <t>15% min.</t>
  </si>
  <si>
    <r>
      <t>1</t>
    </r>
    <r>
      <rPr>
        <b/>
        <i/>
        <sz val="11"/>
        <rFont val="Arial"/>
        <family val="2"/>
      </rPr>
      <t xml:space="preserve"> Adjusted Workabilty =</t>
    </r>
  </si>
  <si>
    <t>#30-200</t>
  </si>
  <si>
    <t>24-34%</t>
  </si>
  <si>
    <t>Fineness Modulus, coarse =</t>
  </si>
  <si>
    <t>Higher F.M. indicates coarser gradation</t>
  </si>
  <si>
    <t>Fineness Modulus, sand =</t>
  </si>
  <si>
    <t xml:space="preserve">Fineness Modulus, combined = </t>
  </si>
  <si>
    <t>Form 955QMC</t>
  </si>
  <si>
    <t>Iowa Department of Transportation</t>
  </si>
  <si>
    <t>Highway Division-Office of Materials</t>
  </si>
  <si>
    <t>Proportion &amp; Production Limits For Aggregates</t>
  </si>
  <si>
    <t>County :</t>
  </si>
  <si>
    <t>Project No.:</t>
  </si>
  <si>
    <t>Date:</t>
  </si>
  <si>
    <t>Project Location:</t>
  </si>
  <si>
    <t>Mix Design No.:</t>
  </si>
  <si>
    <t>Contractor:</t>
  </si>
  <si>
    <t>Location:</t>
  </si>
  <si>
    <t>Material</t>
  </si>
  <si>
    <t>Ident #</t>
  </si>
  <si>
    <t>% in Mix</t>
  </si>
  <si>
    <t>Producer &amp; Location</t>
  </si>
  <si>
    <t>Class</t>
  </si>
  <si>
    <t>Beds</t>
  </si>
  <si>
    <t>Conc. Sand</t>
  </si>
  <si>
    <t>Individual Aggregates Sieve Analysis - % Passing  (Target)</t>
  </si>
  <si>
    <t>1 1/2 "</t>
  </si>
  <si>
    <t>Preliminary Target Gradation</t>
  </si>
  <si>
    <t>* Upper Tolerance</t>
  </si>
  <si>
    <t>Comb Grading</t>
  </si>
  <si>
    <t>* Lower Tolerance</t>
  </si>
  <si>
    <t>Comments:</t>
  </si>
  <si>
    <t xml:space="preserve">The above individual target gradations are based on an average of normal productions and have been discussed and </t>
  </si>
  <si>
    <t xml:space="preserve">reviewed with an authorized representative of the aggregate producer. Producer acknowledges these results are </t>
  </si>
  <si>
    <t>representative of typical production gradations.</t>
  </si>
  <si>
    <t>Check(X)</t>
  </si>
  <si>
    <t>Signed:</t>
  </si>
  <si>
    <t>Producer</t>
  </si>
  <si>
    <t>Interm.</t>
  </si>
  <si>
    <t>Contractor</t>
  </si>
  <si>
    <t>DATE:</t>
  </si>
  <si>
    <t>PROJECT:</t>
  </si>
  <si>
    <t>GENERAL INFORMATION</t>
  </si>
  <si>
    <t>MIX TYPE:</t>
  </si>
  <si>
    <t>MIX NUMBER:</t>
  </si>
  <si>
    <t xml:space="preserve">CEMENT: </t>
  </si>
  <si>
    <t>MATERIALS</t>
  </si>
  <si>
    <t>Source</t>
  </si>
  <si>
    <t>Type/Class</t>
  </si>
  <si>
    <t>SPG</t>
  </si>
  <si>
    <t>Percent</t>
  </si>
  <si>
    <t>Abs. Vol.</t>
  </si>
  <si>
    <t>FLY ASH:</t>
  </si>
  <si>
    <t>MINERAL ADMIXTURE:</t>
  </si>
  <si>
    <t>WATER (w/c ratio):</t>
  </si>
  <si>
    <t>AIR CONTENT:</t>
  </si>
  <si>
    <t>FINE AGGREGATE:</t>
  </si>
  <si>
    <t>DESIGN SLUMP:</t>
  </si>
  <si>
    <t>COARSE AGGREGATE:</t>
  </si>
  <si>
    <t>QUANTITIES (absolute volume method in SSD condition)</t>
  </si>
  <si>
    <t>Volume</t>
  </si>
  <si>
    <t>Weight</t>
  </si>
  <si>
    <t>INTERMEDIATE AGGREGATE:</t>
  </si>
  <si>
    <t>ft3</t>
  </si>
  <si>
    <t>Batch Size</t>
  </si>
  <si>
    <t>Lab Batch Size</t>
  </si>
  <si>
    <t>1.0 yd3</t>
  </si>
  <si>
    <t>1.0 ft3</t>
  </si>
  <si>
    <t>=</t>
  </si>
  <si>
    <t>AIR ENTRAINING AGENT:</t>
  </si>
  <si>
    <t>RETARDER:</t>
  </si>
  <si>
    <t>WATER:</t>
  </si>
  <si>
    <t>NORMAL WATER REDUCER:</t>
  </si>
  <si>
    <t>MID-RANGE WATER REDUCER:</t>
  </si>
  <si>
    <t>HIGH-RANGE WATER REDUCER:</t>
  </si>
  <si>
    <t>AIR:</t>
  </si>
  <si>
    <t>Summation</t>
  </si>
  <si>
    <t>ACCELERATOR:</t>
  </si>
  <si>
    <t>Paste Content</t>
  </si>
  <si>
    <t>Mortar Content (abs vol)</t>
  </si>
  <si>
    <t>Mortar Content (% pass)</t>
  </si>
  <si>
    <t>CHEMICAL ADMIXTURES</t>
  </si>
  <si>
    <t>Rate</t>
  </si>
  <si>
    <t>ml</t>
  </si>
  <si>
    <t>oz/100 lbs cementitious</t>
  </si>
  <si>
    <t>Slag:</t>
  </si>
  <si>
    <t>BATCH SIZE (ft3):</t>
  </si>
  <si>
    <t>DESIGN SLUMP Iin.):</t>
  </si>
  <si>
    <t>Fineness Modulus, intermediate =</t>
  </si>
  <si>
    <t>yd3</t>
  </si>
  <si>
    <t>Meet DOT Specs</t>
  </si>
  <si>
    <t>Meet ASTM Specs</t>
  </si>
  <si>
    <t>Coarse Aggregate Source Information</t>
  </si>
  <si>
    <t>ELSBERN</t>
  </si>
  <si>
    <t>A22016</t>
  </si>
  <si>
    <t>GISLESON</t>
  </si>
  <si>
    <t>A22030</t>
  </si>
  <si>
    <t>EBERHARDT</t>
  </si>
  <si>
    <t>A22034</t>
  </si>
  <si>
    <t>FOOTHILL</t>
  </si>
  <si>
    <t>A73538</t>
  </si>
  <si>
    <t>MONEY PIT #1</t>
  </si>
  <si>
    <t>A77538</t>
  </si>
  <si>
    <t>NORTH DES MOINES HOVELAND</t>
  </si>
  <si>
    <t>TURNBAUGH</t>
  </si>
  <si>
    <t>WEST CENTER SAND</t>
  </si>
  <si>
    <t>NORTH VALLEY SAND</t>
  </si>
  <si>
    <t>Fine Aggregate Source Information</t>
  </si>
  <si>
    <t>A21538</t>
  </si>
  <si>
    <t>NORGAARD SAND &amp; GRAVEL</t>
  </si>
  <si>
    <t>ROTTINGHAUS</t>
  </si>
  <si>
    <t>A52512</t>
  </si>
  <si>
    <t>RIVERSIDE SAND</t>
  </si>
  <si>
    <t>A72538</t>
  </si>
  <si>
    <t>A76518</t>
  </si>
  <si>
    <t>BANWART</t>
  </si>
  <si>
    <t>AMN574</t>
  </si>
  <si>
    <t>LINDMAN SOUTH</t>
  </si>
  <si>
    <t>Columbia Generating Station #1, #2 or Comb</t>
  </si>
  <si>
    <t>FA050C</t>
  </si>
  <si>
    <t>Duck Creek Power Station</t>
  </si>
  <si>
    <t>FA051C</t>
  </si>
  <si>
    <t>North Shore Station</t>
  </si>
  <si>
    <t>FA052C</t>
  </si>
  <si>
    <t>FA053C</t>
  </si>
  <si>
    <t>Leland Olds Station, Unit 1</t>
  </si>
  <si>
    <t>FA054F</t>
  </si>
  <si>
    <t>P2P PSGC/Louisa Blend</t>
  </si>
  <si>
    <t>FA249C</t>
  </si>
  <si>
    <t>Edwards Power Station, Unit#2</t>
  </si>
  <si>
    <t>FA349C</t>
  </si>
  <si>
    <t>Edwards Power Station, Unit#3</t>
  </si>
  <si>
    <t xml:space="preserve">Air Entraining </t>
  </si>
  <si>
    <t>Normal Water Reducer</t>
  </si>
  <si>
    <t>Dynamon NRG 1092</t>
  </si>
  <si>
    <t>Mapei</t>
  </si>
  <si>
    <t>Mid Range Water Reducers</t>
  </si>
  <si>
    <t>Eucon MR</t>
  </si>
  <si>
    <t>MasterPolyheed 1020</t>
  </si>
  <si>
    <t>MasterPolyheed 1025</t>
  </si>
  <si>
    <t>MasterPolyheed 1720</t>
  </si>
  <si>
    <t>MasterPolyheed 1725</t>
  </si>
  <si>
    <t>MasterPolyheed 997</t>
  </si>
  <si>
    <t>OptiFlo MR</t>
  </si>
  <si>
    <t>Sika ViscoFlow 2020</t>
  </si>
  <si>
    <t>Sikaplast 200</t>
  </si>
  <si>
    <t>Sikaplast 300GP</t>
  </si>
  <si>
    <t>High Range Water Reducers</t>
  </si>
  <si>
    <t>Retarder</t>
  </si>
  <si>
    <t>Special Performance</t>
  </si>
  <si>
    <t>Sika WT-240 P</t>
  </si>
  <si>
    <t>V-Mar F100</t>
  </si>
  <si>
    <t>Concrete Fibers</t>
  </si>
  <si>
    <t>MasterFiber MAC 100</t>
  </si>
  <si>
    <t>Counties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</si>
  <si>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</si>
  <si>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</si>
  <si>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</si>
  <si>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</si>
  <si>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</si>
  <si>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</si>
  <si>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</si>
  <si>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</si>
  <si>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</si>
  <si>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</si>
  <si>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</si>
  <si>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</si>
  <si>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</si>
  <si>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</si>
  <si>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</si>
  <si>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</si>
  <si>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</si>
  <si>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</si>
  <si>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</si>
  <si>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</si>
  <si>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</si>
  <si>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</si>
  <si>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</si>
  <si>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</si>
  <si>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</si>
  <si>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</si>
  <si>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</si>
  <si>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</si>
  <si>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</si>
  <si>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</si>
  <si>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</si>
  <si>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</si>
  <si>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</si>
  <si>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</si>
  <si>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</si>
  <si>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</si>
  <si>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</si>
  <si>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</si>
  <si>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</si>
  <si>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</si>
  <si>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</si>
  <si>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</si>
  <si>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</si>
  <si>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</si>
  <si>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</si>
  <si>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</si>
  <si>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</si>
  <si>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</si>
  <si>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</si>
  <si>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</si>
  <si>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</si>
  <si>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</si>
  <si>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</si>
  <si>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</si>
  <si>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</si>
  <si>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</si>
  <si>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</si>
  <si>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</si>
  <si>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</si>
  <si>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</si>
  <si>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</si>
  <si>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</si>
  <si>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</si>
  <si>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</si>
  <si>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</si>
  <si>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</si>
  <si>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</si>
  <si>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</si>
  <si>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</si>
  <si>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</si>
  <si>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</si>
  <si>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</si>
  <si>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</si>
  <si>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</si>
  <si>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</si>
  <si>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</si>
  <si>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</si>
  <si>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</si>
  <si>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</si>
  <si>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</si>
  <si>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</si>
  <si>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</si>
  <si>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</si>
  <si>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</si>
  <si>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</si>
  <si>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</si>
  <si>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</si>
  <si>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</si>
  <si>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</si>
  <si>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</si>
  <si>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</si>
  <si>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</si>
  <si>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</si>
  <si>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</si>
  <si>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</si>
  <si>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</si>
  <si>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</si>
  <si>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</si>
  <si>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</si>
  <si>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C-SUD, C-SUDCW or CDM Mixes</t>
  </si>
  <si>
    <t xml:space="preserve">oz/100wt: </t>
  </si>
  <si>
    <t>oz/100wt:</t>
  </si>
  <si>
    <t>lb/yd3:</t>
  </si>
  <si>
    <t>SPECIAL PERFORMANCE:</t>
  </si>
  <si>
    <t>Coarse Agg</t>
  </si>
  <si>
    <t>Int. Agg</t>
  </si>
  <si>
    <t>Component Blending for PCC Mixes - QMC, HPC-D, C-SUD</t>
  </si>
  <si>
    <t>From Mix Info page</t>
  </si>
  <si>
    <t>Lab Mix Design</t>
  </si>
  <si>
    <t>MIX #:</t>
  </si>
  <si>
    <t>C-V47BS</t>
  </si>
  <si>
    <t>QMPEM</t>
  </si>
  <si>
    <t xml:space="preserve">BR, QMC, QMPEM, HPC-D, SCC, </t>
  </si>
  <si>
    <t>SCC, QMPEM or CDM</t>
  </si>
  <si>
    <t>Mix #:</t>
  </si>
  <si>
    <t xml:space="preserve">Mix #: </t>
  </si>
  <si>
    <t>A22020</t>
  </si>
  <si>
    <t>MUELLER</t>
  </si>
  <si>
    <t>NORTH DES MOINES WHITE</t>
  </si>
  <si>
    <t>DELL RAPIDS</t>
  </si>
  <si>
    <t>PC0509</t>
  </si>
  <si>
    <t>A25520</t>
  </si>
  <si>
    <t>LEGACY MATERIALS</t>
  </si>
  <si>
    <t>FA003F</t>
  </si>
  <si>
    <t>Coal Creek Micron 3</t>
  </si>
  <si>
    <t>FA055F</t>
  </si>
  <si>
    <t>FA056C</t>
  </si>
  <si>
    <t xml:space="preserve">Jeffery Energy Center </t>
  </si>
  <si>
    <t>FA057C</t>
  </si>
  <si>
    <t>Platte Generating Station</t>
  </si>
  <si>
    <t>FA223C</t>
  </si>
  <si>
    <t>FA323F</t>
  </si>
  <si>
    <t>SL05A</t>
  </si>
  <si>
    <t>Carbon Smart Grade 100</t>
  </si>
  <si>
    <t>Master Builders US</t>
  </si>
  <si>
    <t>Dynamon NRG 546</t>
  </si>
  <si>
    <t>Mapefluid N200</t>
  </si>
  <si>
    <t>Mapeplast MR 107</t>
  </si>
  <si>
    <t>Melchem 38</t>
  </si>
  <si>
    <t>Dynamon SX 37</t>
  </si>
  <si>
    <t>Mapetard Plus</t>
  </si>
  <si>
    <t>Zyla R</t>
  </si>
  <si>
    <t>Mapecrete V3K</t>
  </si>
  <si>
    <t>SikaControl SC</t>
  </si>
  <si>
    <t>BarChip 48</t>
  </si>
  <si>
    <t>BarChip USA</t>
  </si>
  <si>
    <t>BarChip 54</t>
  </si>
  <si>
    <t>Enduro Prime 55</t>
  </si>
  <si>
    <t>FIB 300 FabPro</t>
  </si>
  <si>
    <t>Fibermesh 300</t>
  </si>
  <si>
    <t xml:space="preserve"> Cement Reduction</t>
  </si>
  <si>
    <t>HPC S or D</t>
  </si>
  <si>
    <t>30% Slag Required</t>
  </si>
  <si>
    <t>Total Allowed</t>
  </si>
  <si>
    <t>Fly ash Allowed</t>
  </si>
  <si>
    <t>Slag Allowed</t>
  </si>
  <si>
    <t>PC0209</t>
  </si>
  <si>
    <t>Central Plains - Sugar Creek</t>
  </si>
  <si>
    <t>PC0709</t>
  </si>
  <si>
    <t>PC1409</t>
  </si>
  <si>
    <t>PC1509</t>
  </si>
  <si>
    <t>PC3009</t>
  </si>
  <si>
    <t>II</t>
  </si>
  <si>
    <t>oz/cy:</t>
  </si>
  <si>
    <t>DSA 110</t>
  </si>
  <si>
    <t>DarCole Products, Inc</t>
  </si>
  <si>
    <t>DNL 485</t>
  </si>
  <si>
    <t>DNL 785</t>
  </si>
  <si>
    <t>Mapeplast N</t>
  </si>
  <si>
    <t>Master X-Seed 66</t>
  </si>
  <si>
    <t>CSXtreme</t>
  </si>
  <si>
    <t>Concrete Moisture Solutions</t>
  </si>
  <si>
    <t>Eucon AWA-P20</t>
  </si>
  <si>
    <t>VMA-758</t>
  </si>
  <si>
    <t>RussTech, Inc</t>
  </si>
  <si>
    <t>Genesis XF</t>
  </si>
  <si>
    <t>FabPro Polymers</t>
  </si>
  <si>
    <t>Genesis Fibrillated</t>
  </si>
  <si>
    <t>Performax</t>
  </si>
  <si>
    <t>Performax HT</t>
  </si>
  <si>
    <t>Plexus 44F</t>
  </si>
  <si>
    <t>Plexus 54F</t>
  </si>
  <si>
    <t>HPC-S or D</t>
  </si>
  <si>
    <t xml:space="preserve"> </t>
  </si>
  <si>
    <t>Cement Type I Can't Be Used With This Mix.</t>
  </si>
  <si>
    <t>Cement Type III Can't Be Used With This Mix.</t>
  </si>
  <si>
    <t>Mass Concrete</t>
  </si>
  <si>
    <t>DS-15081</t>
  </si>
  <si>
    <t>IP, IS, IT</t>
  </si>
  <si>
    <t>I, II, IL, IP, IS, IT</t>
  </si>
  <si>
    <t>Requires a thermal control plan.</t>
  </si>
  <si>
    <t>C, 35 F</t>
  </si>
  <si>
    <t xml:space="preserve">Work Type:  </t>
  </si>
  <si>
    <t xml:space="preserve">Projected Placement Date:  </t>
  </si>
  <si>
    <t>Ash</t>
  </si>
  <si>
    <t>Required Slag</t>
  </si>
  <si>
    <t xml:space="preserve">Ash </t>
  </si>
  <si>
    <t xml:space="preserve">Total </t>
  </si>
  <si>
    <t>Slag Required</t>
  </si>
  <si>
    <t>Maturity Method Required</t>
  </si>
  <si>
    <t>Heating &amp; protection Required</t>
  </si>
  <si>
    <t>C+F+S=70</t>
  </si>
  <si>
    <t>F-35</t>
  </si>
  <si>
    <t>#Bridge Deck</t>
  </si>
  <si>
    <t>#Mass Concrete</t>
  </si>
  <si>
    <t>#BR</t>
  </si>
  <si>
    <t>#Class O Overlay</t>
  </si>
  <si>
    <t>#HPC Deck Overlay</t>
  </si>
  <si>
    <t>#Concrete Pavement</t>
  </si>
  <si>
    <t>#Structural Concrete</t>
  </si>
  <si>
    <t>C.Barko</t>
  </si>
  <si>
    <t>Placement Date</t>
  </si>
  <si>
    <t>Select Work Type and Projected Placement Date</t>
  </si>
  <si>
    <t>PC0009</t>
  </si>
  <si>
    <t>PC0706</t>
  </si>
  <si>
    <t>PC0809</t>
  </si>
  <si>
    <t>PC1009</t>
  </si>
  <si>
    <t>PC1809</t>
  </si>
  <si>
    <t>PC2909</t>
  </si>
  <si>
    <t xml:space="preserve">Enter these % on </t>
  </si>
  <si>
    <t xml:space="preserve">QMC Gradation tab </t>
  </si>
  <si>
    <t>DS-15099</t>
  </si>
  <si>
    <t>Minimum 30% Slag Required, 35% Maximum</t>
  </si>
  <si>
    <t>Minimum 25% Slag Required, 35% Maximum</t>
  </si>
  <si>
    <t xml:space="preserve">        Producer:</t>
  </si>
  <si>
    <t>A03046</t>
  </si>
  <si>
    <t>MOHS</t>
  </si>
  <si>
    <t>WALNUT CITY</t>
  </si>
  <si>
    <t>A10002</t>
  </si>
  <si>
    <t>WESTON-LAMONT</t>
  </si>
  <si>
    <t>LEAGACY MATERIALS</t>
  </si>
  <si>
    <t>A25522</t>
  </si>
  <si>
    <t>BOONEVILLE WEST</t>
  </si>
  <si>
    <t>A28010</t>
  </si>
  <si>
    <t>TIBBOTT</t>
  </si>
  <si>
    <t>CEDAR ACRE RESORT</t>
  </si>
  <si>
    <t>A49064</t>
  </si>
  <si>
    <t>VEACH</t>
  </si>
  <si>
    <t>A49068</t>
  </si>
  <si>
    <t>A52008</t>
  </si>
  <si>
    <t>ERNST</t>
  </si>
  <si>
    <t>AIL046</t>
  </si>
  <si>
    <t>BLUFF CITY MATERIALS</t>
  </si>
  <si>
    <t>CORDOVA INLAND</t>
  </si>
  <si>
    <t>AMN042</t>
  </si>
  <si>
    <t>AMN054</t>
  </si>
  <si>
    <t>AMN528</t>
  </si>
  <si>
    <t>POPE</t>
  </si>
  <si>
    <t>AMN576</t>
  </si>
  <si>
    <t>TILSTRA</t>
  </si>
  <si>
    <t>AMO058</t>
  </si>
  <si>
    <t>PIT#3</t>
  </si>
  <si>
    <t xml:space="preserve">ANE552 </t>
  </si>
  <si>
    <t>AWI038</t>
  </si>
  <si>
    <t>A03520</t>
  </si>
  <si>
    <t>IVERSON 2</t>
  </si>
  <si>
    <t>A28526</t>
  </si>
  <si>
    <t>HAWK</t>
  </si>
  <si>
    <t>A28528</t>
  </si>
  <si>
    <t>CAR 6</t>
  </si>
  <si>
    <t>A64508</t>
  </si>
  <si>
    <t>NEW MARSHALLTOWN</t>
  </si>
  <si>
    <t>A96532</t>
  </si>
  <si>
    <t>SCHMITT</t>
  </si>
  <si>
    <t>PC0018</t>
  </si>
  <si>
    <t>IP(30)</t>
  </si>
  <si>
    <t>IT(S38)(L7)</t>
  </si>
  <si>
    <t>PC2806</t>
  </si>
  <si>
    <t>CarbonSense CWLP F Ash</t>
  </si>
  <si>
    <t>FA058F</t>
  </si>
  <si>
    <t>Cumberland Power Station</t>
  </si>
  <si>
    <t>CarbonSense C Ash</t>
  </si>
  <si>
    <t>CarbonSense F Ash</t>
  </si>
  <si>
    <t>OpiFlo MR</t>
  </si>
  <si>
    <t>ADVA Cast 593</t>
  </si>
  <si>
    <t>Mini Delayed Set</t>
  </si>
  <si>
    <t>Zyla 640</t>
  </si>
  <si>
    <t>CarbonCure</t>
  </si>
  <si>
    <t>CarbonCure Tech.</t>
  </si>
  <si>
    <t>Master X-Seed 44</t>
  </si>
  <si>
    <t>AC 50</t>
  </si>
  <si>
    <t>ICF Concrete Additives</t>
  </si>
  <si>
    <t>AC 60</t>
  </si>
  <si>
    <t>MapeFibre ST 42</t>
  </si>
  <si>
    <t>MONO 150</t>
  </si>
  <si>
    <t>Polymesh M</t>
  </si>
  <si>
    <t>SikaFiber 800 Stealth</t>
  </si>
  <si>
    <t>#HPC S or D</t>
  </si>
  <si>
    <t>IT(S20)(L9)</t>
  </si>
  <si>
    <t>IT(P25)(L6)</t>
  </si>
  <si>
    <t>PC3206</t>
  </si>
  <si>
    <t>IL</t>
  </si>
  <si>
    <t>A06504</t>
  </si>
  <si>
    <t>COOTS SAND/VINTON</t>
  </si>
  <si>
    <t>A31512</t>
  </si>
  <si>
    <t>BURKLE</t>
  </si>
  <si>
    <t>A35520</t>
  </si>
  <si>
    <t>BRANDT</t>
  </si>
  <si>
    <t>A37514</t>
  </si>
  <si>
    <t>A53526</t>
  </si>
  <si>
    <t>STEPHENS</t>
  </si>
  <si>
    <t>A63502</t>
  </si>
  <si>
    <t>BEAN PROPERTY</t>
  </si>
  <si>
    <t>A70504</t>
  </si>
  <si>
    <t>ATALISSA-MCKILLIP</t>
  </si>
  <si>
    <t>A98524</t>
  </si>
  <si>
    <t>A03014</t>
  </si>
  <si>
    <t>HAMMEL-BOONIES</t>
  </si>
  <si>
    <t xml:space="preserve">oz/CY: </t>
  </si>
  <si>
    <t>Flowable Fill</t>
  </si>
  <si>
    <t>Cretefoam CMX</t>
  </si>
  <si>
    <t>Richway Ind.</t>
  </si>
  <si>
    <t>DNF 842</t>
  </si>
  <si>
    <t>DarCole Pro.</t>
  </si>
  <si>
    <t>Darafill</t>
  </si>
  <si>
    <t>Eucon Easy Fill</t>
  </si>
  <si>
    <t>FLO-L</t>
  </si>
  <si>
    <t>Premiere</t>
  </si>
  <si>
    <t>Lightcrete</t>
  </si>
  <si>
    <t>Mapeair LA/L</t>
  </si>
  <si>
    <t>MasterCell 25</t>
  </si>
  <si>
    <t>Master Builders</t>
  </si>
  <si>
    <t>RUSS-FLO</t>
  </si>
  <si>
    <t>CO2 ADMIX</t>
  </si>
  <si>
    <t>CarbonJect</t>
  </si>
  <si>
    <t>CRH</t>
  </si>
  <si>
    <t>DG-F</t>
  </si>
  <si>
    <t>E5 Internal Cure</t>
  </si>
  <si>
    <t>Specification Products</t>
  </si>
  <si>
    <t>E5 Liquid FlyAsh</t>
  </si>
  <si>
    <t>Hycrete X1002</t>
  </si>
  <si>
    <t>Hycrete</t>
  </si>
  <si>
    <t>Mapecrete VMA</t>
  </si>
  <si>
    <t>Penetron Admix SB</t>
  </si>
  <si>
    <t>Penrtron USA</t>
  </si>
  <si>
    <t>Eucon DS</t>
  </si>
  <si>
    <t>Mapeplast 400 NC</t>
  </si>
  <si>
    <t>Mapetard R</t>
  </si>
  <si>
    <t>Sika Plastiment</t>
  </si>
  <si>
    <t>Sika Plastiment XR</t>
  </si>
  <si>
    <t>Sika Plastocrete 10N</t>
  </si>
  <si>
    <t>Sika Plastocrete 161</t>
  </si>
  <si>
    <t>Sika Plastocrete-250</t>
  </si>
  <si>
    <t>Dynamon 850</t>
  </si>
  <si>
    <t>Plastol 6425</t>
  </si>
  <si>
    <t>Sika ViscoCrete 1100</t>
  </si>
  <si>
    <t>Superflo DSF 1443</t>
  </si>
  <si>
    <t>Eucon X-15</t>
  </si>
  <si>
    <t>Mapeplast KB 1200</t>
  </si>
  <si>
    <t>Mapeplast Paver Plus</t>
  </si>
  <si>
    <t>Sika Viscocrete-1100</t>
  </si>
  <si>
    <t>Mapeair SA</t>
  </si>
  <si>
    <t>Mapeair SA-50</t>
  </si>
  <si>
    <t>Mapeair VR</t>
  </si>
  <si>
    <t>FA059C</t>
  </si>
  <si>
    <t>Limestone Plant</t>
  </si>
  <si>
    <t>FA060F</t>
  </si>
  <si>
    <t>Oak Grove Pozzolan</t>
  </si>
  <si>
    <t>PC0109</t>
  </si>
  <si>
    <t>PC1309</t>
  </si>
  <si>
    <t>PC1909</t>
  </si>
  <si>
    <t>PC3702</t>
  </si>
  <si>
    <t>Ozinga-Song Lam JSC</t>
  </si>
  <si>
    <t>A07520</t>
  </si>
  <si>
    <t>BENTON'S LAKE</t>
  </si>
  <si>
    <t>A28530</t>
  </si>
  <si>
    <t>SUMMERS PIT</t>
  </si>
  <si>
    <t>A49538</t>
  </si>
  <si>
    <t>MAQUOKETA SAND</t>
  </si>
  <si>
    <t>A96526</t>
  </si>
  <si>
    <t>AKS504</t>
  </si>
  <si>
    <t>FRISBIE-PLANT #3</t>
  </si>
  <si>
    <t>AKS506</t>
  </si>
  <si>
    <t>OAKLAND SAND PIT</t>
  </si>
  <si>
    <t>AKS508</t>
  </si>
  <si>
    <t>SILVER LAKE SAND PIT</t>
  </si>
  <si>
    <t>VOGT</t>
  </si>
  <si>
    <t>ASD008</t>
  </si>
  <si>
    <t>SPENCER</t>
  </si>
  <si>
    <t>Enter Alternate Source Not Listed In This Column</t>
  </si>
  <si>
    <t xml:space="preserve">CO2 Admix (oz./cy): </t>
  </si>
  <si>
    <t xml:space="preserve">CO2 Admix Brand: </t>
  </si>
  <si>
    <t xml:space="preserve">CO2 Admix %: </t>
  </si>
  <si>
    <t xml:space="preserve">Flowable Fill Admix: </t>
  </si>
  <si>
    <t>Please submit mix design in Excel format.</t>
  </si>
  <si>
    <t>C-V47BP</t>
  </si>
  <si>
    <t>Drilled Shaft</t>
  </si>
  <si>
    <t>#Drilled Shaft</t>
  </si>
  <si>
    <t>Requierd Slag</t>
  </si>
  <si>
    <t>DS-23034</t>
  </si>
  <si>
    <t>DS-23025</t>
  </si>
  <si>
    <t xml:space="preserve">Project #: </t>
  </si>
  <si>
    <t xml:space="preserve">Contractor: </t>
  </si>
  <si>
    <t xml:space="preserve">Date of Mix Adjustment: </t>
  </si>
  <si>
    <t xml:space="preserve">Station of Mix Adjustment: </t>
  </si>
  <si>
    <t xml:space="preserve">Number of Mix Changes to Date: </t>
  </si>
  <si>
    <t>+</t>
  </si>
  <si>
    <t xml:space="preserve">Old Mix ID: </t>
  </si>
  <si>
    <t xml:space="preserve">New Mix ID: </t>
  </si>
  <si>
    <t xml:space="preserve">Mix Adjustment 1: </t>
  </si>
  <si>
    <t xml:space="preserve">Reason: </t>
  </si>
  <si>
    <t xml:space="preserve">Mix Adjustment 2: </t>
  </si>
  <si>
    <t xml:space="preserve">Mix Adjustment 3: </t>
  </si>
  <si>
    <t xml:space="preserve">Cement: </t>
  </si>
  <si>
    <t xml:space="preserve">Fly Ash: </t>
  </si>
  <si>
    <t xml:space="preserve">Slag: </t>
  </si>
  <si>
    <t xml:space="preserve">Coarse Agg: </t>
  </si>
  <si>
    <t xml:space="preserve">Intermediate Agg: </t>
  </si>
  <si>
    <t xml:space="preserve">Fine Agg: </t>
  </si>
  <si>
    <t xml:space="preserve">Water: </t>
  </si>
  <si>
    <t xml:space="preserve">Water Reducer: </t>
  </si>
  <si>
    <t>Old Mix Proportions</t>
  </si>
  <si>
    <t>SSD Weight or Dosage</t>
  </si>
  <si>
    <t>New Mix Proportions</t>
  </si>
  <si>
    <t xml:space="preserve">Certified Mix Designer: </t>
  </si>
  <si>
    <t xml:space="preserve">Certification Number: </t>
  </si>
  <si>
    <t>QMC Mix Adjustment Form</t>
  </si>
  <si>
    <t>Only Fill Out This Column If Changing Sources</t>
  </si>
  <si>
    <t xml:space="preserve">Water Source: </t>
  </si>
  <si>
    <t>City</t>
  </si>
  <si>
    <t>Well</t>
  </si>
  <si>
    <t>Pond / Stream</t>
  </si>
  <si>
    <t>Other</t>
  </si>
  <si>
    <t>Combined Normal &amp; Mid Range Water Reducers</t>
  </si>
  <si>
    <t>Fine Agg.</t>
  </si>
  <si>
    <t>Inter. Agg.</t>
  </si>
  <si>
    <t>Coarse Agg.</t>
  </si>
  <si>
    <t>Total:</t>
  </si>
  <si>
    <t>Old Mix Agg. %'s</t>
  </si>
  <si>
    <t>New Mix Agg. %'s</t>
  </si>
  <si>
    <t>A03002-WEXFORD</t>
  </si>
  <si>
    <t>3iB</t>
  </si>
  <si>
    <t>MEDIAPOLIS</t>
  </si>
  <si>
    <t>LACOSTE</t>
  </si>
  <si>
    <t>FAIRFIELD</t>
  </si>
  <si>
    <t>KNOXVILLE QUARRY</t>
  </si>
  <si>
    <t>POOL HILL</t>
  </si>
  <si>
    <t>AMN024</t>
  </si>
  <si>
    <t>YELLOW MEDICINE</t>
  </si>
  <si>
    <t>SCOTT</t>
  </si>
  <si>
    <t>ATHENS</t>
  </si>
  <si>
    <t>A17522</t>
  </si>
  <si>
    <t>GRAF PIT</t>
  </si>
  <si>
    <t>A45522</t>
  </si>
  <si>
    <t>LE ROY</t>
  </si>
  <si>
    <t>ENGEL</t>
  </si>
  <si>
    <t>A77540</t>
  </si>
  <si>
    <t>P-HILL EAST</t>
  </si>
  <si>
    <t>OTTUMWA SAND</t>
  </si>
  <si>
    <t>IS(20)</t>
  </si>
  <si>
    <t>IT(S25)(L9)</t>
  </si>
  <si>
    <t>IT(S30)(P10)</t>
  </si>
  <si>
    <t>PC2816</t>
  </si>
  <si>
    <t>PC3216</t>
  </si>
  <si>
    <t>PC3802</t>
  </si>
  <si>
    <t>Ozinga-Long Son Cement</t>
  </si>
  <si>
    <t>PC3807</t>
  </si>
  <si>
    <t>Ozinga-CarbonSense</t>
  </si>
  <si>
    <t>PC3909</t>
  </si>
  <si>
    <t>Kosmos Cement</t>
  </si>
  <si>
    <t>FA061C</t>
  </si>
  <si>
    <t>Lawrence Power Plant</t>
  </si>
  <si>
    <t>SL06A</t>
  </si>
  <si>
    <t>Heidelberg Speed Plant</t>
  </si>
  <si>
    <t>Polychem SA-14</t>
  </si>
  <si>
    <t>Chryso Optima 249</t>
  </si>
  <si>
    <t>MasterEase 5000</t>
  </si>
  <si>
    <t>Mapecrete Resolve</t>
  </si>
  <si>
    <t>DHS</t>
  </si>
  <si>
    <t>DarCole Products</t>
  </si>
  <si>
    <t>DWR 385R</t>
  </si>
  <si>
    <t>MapeFibre ST 50 Twisted</t>
  </si>
  <si>
    <t>TUF-STRAND SupermMix 41F</t>
  </si>
  <si>
    <t>Aerlite</t>
  </si>
  <si>
    <t>Aerix Industries</t>
  </si>
  <si>
    <t>Fill Flow</t>
  </si>
  <si>
    <t>Fritz-Pak Corp.</t>
  </si>
  <si>
    <t>Requires MR or HR Water Reducer &amp; Retarder</t>
  </si>
  <si>
    <t>Requires a thermal control plan</t>
  </si>
  <si>
    <t>A07022</t>
  </si>
  <si>
    <t>MESSERLY</t>
  </si>
  <si>
    <t>A09008</t>
  </si>
  <si>
    <t>DENVER #2</t>
  </si>
  <si>
    <t>A21528</t>
  </si>
  <si>
    <t>GOEKEN</t>
  </si>
  <si>
    <t>A22046</t>
  </si>
  <si>
    <t>JOY SPRINGS-BURRACK</t>
  </si>
  <si>
    <t>BAHL</t>
  </si>
  <si>
    <t>A30514</t>
  </si>
  <si>
    <t>MILFORD/LEITH</t>
  </si>
  <si>
    <t>REITER</t>
  </si>
  <si>
    <t>A47504</t>
  </si>
  <si>
    <t>CROCKER</t>
  </si>
  <si>
    <t>A75518</t>
  </si>
  <si>
    <t>HINTON</t>
  </si>
  <si>
    <t>NEW ULM QTZ</t>
  </si>
  <si>
    <t>HOOGLAND</t>
  </si>
  <si>
    <t>AMN055</t>
  </si>
  <si>
    <t>ELG</t>
  </si>
  <si>
    <t>PRAIRIE ISLAND</t>
  </si>
  <si>
    <t>ROSEMONT</t>
  </si>
  <si>
    <t>AMN564</t>
  </si>
  <si>
    <t>HASTINGS</t>
  </si>
  <si>
    <t>PLANT #45</t>
  </si>
  <si>
    <t>ASD502</t>
  </si>
  <si>
    <t>BOYER</t>
  </si>
  <si>
    <t>AWI532</t>
  </si>
  <si>
    <t>WOLF</t>
  </si>
  <si>
    <t>A03506</t>
  </si>
  <si>
    <t>A12516</t>
  </si>
  <si>
    <t>A21540</t>
  </si>
  <si>
    <t>DELOSS</t>
  </si>
  <si>
    <t>A23518</t>
  </si>
  <si>
    <t>HERKSEN</t>
  </si>
  <si>
    <t>A46522</t>
  </si>
  <si>
    <t>VOTE</t>
  </si>
  <si>
    <t>HOSTENG-HAGGE</t>
  </si>
  <si>
    <t>A81552</t>
  </si>
  <si>
    <t>BEDROCK-WL</t>
  </si>
  <si>
    <t>A85512</t>
  </si>
  <si>
    <t>INROADS AMES SAND</t>
  </si>
  <si>
    <t>AIL502</t>
  </si>
  <si>
    <t>ALBANY(MC@511)-ROCK ISLAND</t>
  </si>
  <si>
    <t>AKS510</t>
  </si>
  <si>
    <t>DESOTO SAND</t>
  </si>
  <si>
    <t>WOLF-DOUSMAN</t>
  </si>
  <si>
    <t>PC0028</t>
  </si>
  <si>
    <t>IP(35)</t>
  </si>
  <si>
    <t>Quikrete - Hannibal</t>
  </si>
  <si>
    <t>IT(S20)(L10)</t>
  </si>
  <si>
    <t>Heidelberg - Mason City</t>
  </si>
  <si>
    <t>Quikrete - Buffalo</t>
  </si>
  <si>
    <t>Amrize - Grand Chain</t>
  </si>
  <si>
    <t>Amrize- Alpena</t>
  </si>
  <si>
    <t>Amrize- Ada</t>
  </si>
  <si>
    <t>Amrize - Florence</t>
  </si>
  <si>
    <t>PC2009</t>
  </si>
  <si>
    <t>Amrize - ST. Gen</t>
  </si>
  <si>
    <t>Illinois - LaSalle</t>
  </si>
  <si>
    <t>PC3409</t>
  </si>
  <si>
    <t>PC4009</t>
  </si>
  <si>
    <t>Amrize - Exshaw</t>
  </si>
  <si>
    <t>PC4109</t>
  </si>
  <si>
    <t>Heidelberg - Mitchell</t>
  </si>
  <si>
    <t>PC4209</t>
  </si>
  <si>
    <t>Heidelberg - Logansport</t>
  </si>
  <si>
    <t>FA003F3</t>
  </si>
  <si>
    <t>Whelan Hastings Generation Plant</t>
  </si>
  <si>
    <t>DSA 112</t>
  </si>
  <si>
    <t>CHRYSO Inc.</t>
  </si>
  <si>
    <t>Dynamon Easy 75</t>
  </si>
  <si>
    <t>Mapeplast 440 NS</t>
  </si>
  <si>
    <t>Chem-Crete MCE</t>
  </si>
  <si>
    <t>International Chem-Crete</t>
  </si>
  <si>
    <t>ConBlock CDA</t>
  </si>
  <si>
    <t>Concrete Sealants Inc.</t>
  </si>
  <si>
    <t>ConBlock CDA Red</t>
  </si>
  <si>
    <t>SikaFume 290 CS</t>
  </si>
  <si>
    <t>SikaFume 390 CS</t>
  </si>
  <si>
    <t>UltraFinish 1L</t>
  </si>
  <si>
    <t>Adfil Sinta F19</t>
  </si>
  <si>
    <t>B-Macro</t>
  </si>
  <si>
    <t>E-Macro</t>
  </si>
  <si>
    <t>F-Marco</t>
  </si>
  <si>
    <t>MasterFiber MAC 330</t>
  </si>
  <si>
    <t>Polytwist PT54</t>
  </si>
  <si>
    <t>Polyfibers</t>
  </si>
  <si>
    <t>SikaFiber 820 Stealth TW</t>
  </si>
  <si>
    <t>SikaFiber Fibermesh 650</t>
  </si>
  <si>
    <t>SikaFiber Fibermesh 950</t>
  </si>
  <si>
    <t>MasterCell 30</t>
  </si>
  <si>
    <t>C-SUDHW</t>
  </si>
  <si>
    <t>25% Slag Required - 3iB Sone Required</t>
  </si>
  <si>
    <t>3iB Stone Required</t>
  </si>
  <si>
    <t>DS-23082</t>
  </si>
  <si>
    <t>v7.1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</si>
</sst>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mm/dd/yy_)"/>
    <numFmt numFmtId="165" formatCode="0_)"/>
    <numFmt numFmtId="166" formatCode="0.0_)"/>
    <numFmt numFmtId="167" formatCode="mm/dd_)"/>
    <numFmt numFmtId="168" formatCode="0.00_)"/>
    <numFmt numFmtId="169" formatCode="0.000_)"/>
    <numFmt numFmtId="170" formatCode="0.0000_)"/>
    <numFmt numFmtId="171" formatCode="0.0"/>
    <numFmt numFmtId="172" formatCode="0.000"/>
    <numFmt numFmtId="173" formatCode="0.0%"/>
    <numFmt numFmtId="174" formatCode="0.0000"/>
  </numFmts>
  <fonts count="101">
    <font>
      <sz val="12"/>
      <name val="Arial MT"/>
    </font>
    <font>
      <b/>
      <sz val="12"/>
      <name val="Arial MT"/>
    </font>
    <font>
      <sz val="10"/>
      <name val="Arial MT"/>
      <family val="2"/>
    </font>
    <font>
      <b/>
      <sz val="12"/>
      <name val="Arial MT"/>
      <family val="2"/>
    </font>
    <font>
      <sz val="10"/>
      <name val="Arial"/>
      <family val="2"/>
    </font>
    <font>
      <sz val="12"/>
      <name val="Arial MT"/>
    </font>
    <font>
      <b/>
      <sz val="10"/>
      <name val="Arial"/>
      <family val="2"/>
    </font>
    <font>
      <sz val="8"/>
      <name val="Arial MT"/>
      <family val="2"/>
    </font>
    <font>
      <b/>
      <sz val="10"/>
      <name val="Arial MT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b/>
      <i/>
      <sz val="10"/>
      <name val="Arial MT"/>
    </font>
    <font>
      <b/>
      <i/>
      <sz val="10"/>
      <color indexed="10"/>
      <name val="Arial MT"/>
    </font>
    <font>
      <b/>
      <i/>
      <sz val="12"/>
      <color indexed="10"/>
      <name val="Arial MT"/>
    </font>
    <font>
      <b/>
      <i/>
      <sz val="10"/>
      <color indexed="12"/>
      <name val="Arial MT"/>
    </font>
    <font>
      <b/>
      <sz val="10"/>
      <name val="Arial MT"/>
    </font>
    <font>
      <sz val="10"/>
      <color indexed="12"/>
      <name val="Arial MT"/>
    </font>
    <font>
      <sz val="10"/>
      <name val="Arial MT"/>
    </font>
    <font>
      <b/>
      <sz val="14"/>
      <name val="Arial MT"/>
    </font>
    <font>
      <b/>
      <i/>
      <sz val="12"/>
      <name val="Arial MT"/>
    </font>
    <font>
      <sz val="8"/>
      <name val="Arial MT"/>
    </font>
    <font>
      <b/>
      <sz val="8"/>
      <name val="Arial MT"/>
    </font>
    <font>
      <b/>
      <i/>
      <sz val="8"/>
      <name val="Arial MT"/>
    </font>
    <font>
      <u/>
      <sz val="12"/>
      <name val="Arial MT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 MT"/>
    </font>
    <font>
      <b/>
      <sz val="11"/>
      <name val="Arial MT"/>
    </font>
    <font>
      <sz val="12"/>
      <color indexed="10"/>
      <name val="Arial MT"/>
    </font>
    <font>
      <sz val="12"/>
      <name val="Arial"/>
      <family val="2"/>
    </font>
    <font>
      <sz val="9"/>
      <name val="Arial MT"/>
    </font>
    <font>
      <b/>
      <sz val="12"/>
      <color rgb="FFFF0000"/>
      <name val="Arial MT"/>
    </font>
    <font>
      <b/>
      <sz val="12"/>
      <color rgb="FF0000FF"/>
      <name val="Arial MT"/>
    </font>
    <font>
      <b/>
      <sz val="10"/>
      <color rgb="FF0000FF"/>
      <name val="Arial MT"/>
    </font>
    <font>
      <b/>
      <i/>
      <sz val="10"/>
      <color theme="1"/>
      <name val="Arial MT"/>
    </font>
    <font>
      <sz val="10"/>
      <color rgb="FF0000FF"/>
      <name val="Arial MT"/>
    </font>
    <font>
      <sz val="12"/>
      <color theme="0"/>
      <name val="Arial MT"/>
    </font>
    <font>
      <sz val="12"/>
      <color rgb="FF000000"/>
      <name val="Arial"/>
      <family val="2"/>
    </font>
    <font>
      <sz val="12"/>
      <color rgb="FF00215B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Arial MT"/>
    </font>
    <font>
      <sz val="11"/>
      <color rgb="FF0000FF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sz val="12"/>
      <color indexed="10"/>
      <name val="Arial"/>
      <family val="2"/>
    </font>
    <font>
      <sz val="12"/>
      <color indexed="12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2"/>
      <name val="Arial"/>
      <family val="2"/>
    </font>
    <font>
      <b/>
      <i/>
      <sz val="12"/>
      <color indexed="10"/>
      <name val="Arial"/>
      <family val="2"/>
    </font>
    <font>
      <sz val="12"/>
      <color indexed="48"/>
      <name val="Arial"/>
      <family val="2"/>
    </font>
    <font>
      <sz val="12"/>
      <color indexed="8"/>
      <name val="Arial"/>
      <family val="2"/>
    </font>
    <font>
      <b/>
      <i/>
      <vertAlign val="superscript"/>
      <sz val="11"/>
      <name val="Arial"/>
      <family val="2"/>
    </font>
    <font>
      <b/>
      <i/>
      <sz val="11"/>
      <name val="Arial"/>
      <family val="2"/>
    </font>
    <font>
      <sz val="12"/>
      <color indexed="8"/>
      <name val="Arial MT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15"/>
      <color indexed="8"/>
      <name val="Times New Roman"/>
      <family val="1"/>
    </font>
    <font>
      <sz val="14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10"/>
      <name val="Times New Roman"/>
      <family val="1"/>
    </font>
    <font>
      <sz val="14"/>
      <name val="Arial"/>
      <family val="2"/>
    </font>
    <font>
      <sz val="14"/>
      <name val="Times New Roman"/>
      <family val="1"/>
    </font>
    <font>
      <sz val="14"/>
      <color indexed="12"/>
      <name val="Times New Roman"/>
      <family val="1"/>
    </font>
    <font>
      <sz val="14"/>
      <color indexed="8"/>
      <name val="Symbol"/>
      <family val="1"/>
      <charset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2"/>
      <color rgb="FF0000FF"/>
      <name val="Arial"/>
      <family val="2"/>
    </font>
    <font>
      <sz val="18"/>
      <color theme="1"/>
      <name val="Calibri"/>
      <family val="2"/>
      <scheme val="minor"/>
    </font>
    <font>
      <sz val="1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name val="Arial"/>
      <family val="2"/>
    </font>
    <font>
      <sz val="12"/>
      <color rgb="FFFF0000"/>
      <name val="Arial MT"/>
    </font>
    <font>
      <b/>
      <i/>
      <sz val="8"/>
      <color rgb="FF0000FF"/>
      <name val="Arial MT"/>
    </font>
    <font>
      <b/>
      <i/>
      <sz val="8"/>
      <color indexed="12"/>
      <name val="Arial MT"/>
    </font>
    <font>
      <b/>
      <sz val="10"/>
      <color theme="0"/>
      <name val="Arial"/>
      <family val="2"/>
    </font>
    <font>
      <b/>
      <sz val="9"/>
      <name val="Arial MT"/>
    </font>
    <font>
      <sz val="12"/>
      <color theme="0"/>
      <name val="Arial"/>
      <family val="2"/>
    </font>
    <font>
      <sz val="11"/>
      <name val="Calibri"/>
      <family val="2"/>
      <scheme val="minor"/>
    </font>
    <font>
      <i/>
      <sz val="11"/>
      <color rgb="FFFF0000"/>
      <name val="Arial MT"/>
    </font>
    <font>
      <b/>
      <sz val="22"/>
      <color rgb="FFC00000"/>
      <name val="Arial MT"/>
    </font>
    <font>
      <sz val="11"/>
      <color rgb="FFFF0000"/>
      <name val="Arial"/>
      <family val="2"/>
    </font>
    <font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6"/>
      <name val="Arial MT"/>
    </font>
    <font>
      <sz val="22"/>
      <name val="Arial MT"/>
    </font>
    <font>
      <sz val="10"/>
      <color theme="0"/>
      <name val="Arial MT"/>
    </font>
    <font>
      <sz val="18"/>
      <color theme="0"/>
      <name val="Arial"/>
      <family val="2"/>
    </font>
    <font>
      <sz val="11"/>
      <color theme="0"/>
      <name val="Arial"/>
      <family val="2"/>
    </font>
    <font>
      <b/>
      <sz val="16"/>
      <color rgb="FFFF0000"/>
      <name val="Arial"/>
      <family val="2"/>
    </font>
    <font>
      <sz val="11"/>
      <color theme="0"/>
      <name val="Arial MT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7"/>
        <b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26"/>
      </patternFill>
    </fill>
    <fill>
      <patternFill patternType="solid">
        <fgColor indexed="15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gray0625">
        <bgColor rgb="FFFF0000"/>
      </patternFill>
    </fill>
    <fill>
      <patternFill patternType="gray0625">
        <bgColor rgb="FFFFFF00"/>
      </patternFill>
    </fill>
    <fill>
      <patternFill patternType="gray0625">
        <bgColor rgb="FFFFC000"/>
      </patternFill>
    </fill>
    <fill>
      <patternFill patternType="gray0625">
        <bgColor rgb="FF92D050"/>
      </patternFill>
    </fill>
    <fill>
      <patternFill patternType="gray0625">
        <bgColor rgb="FF00B0F0"/>
      </patternFill>
    </fill>
    <fill>
      <patternFill patternType="gray0625">
        <bgColor theme="8" tint="0.59996337778862885"/>
      </patternFill>
    </fill>
    <fill>
      <patternFill patternType="solid">
        <fgColor theme="7" tint="0.39994506668294322"/>
        <bgColor indexed="64"/>
      </patternFill>
    </fill>
    <fill>
      <patternFill patternType="gray0625">
        <bgColor theme="7" tint="0.39991454817346722"/>
      </patternFill>
    </fill>
    <fill>
      <patternFill patternType="gray0625">
        <bgColor theme="0" tint="-0.249977111117893"/>
      </patternFill>
    </fill>
    <fill>
      <patternFill patternType="solid">
        <fgColor rgb="FFB7DEE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gray0625">
        <bgColor theme="6" tint="0.39994506668294322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7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4">
    <xf numFmtId="165" fontId="0" fillId="0" borderId="0"/>
    <xf numFmtId="165" fontId="5" fillId="0" borderId="0"/>
    <xf numFmtId="0" fontId="44" fillId="0" borderId="0"/>
    <xf numFmtId="0" fontId="59" fillId="35" borderId="0"/>
  </cellStyleXfs>
  <cellXfs count="733">
    <xf numFmtId="165" fontId="0" fillId="0" borderId="0" xfId="0"/>
    <xf numFmtId="165" fontId="3" fillId="0" borderId="0" xfId="0" applyFont="1" applyAlignment="1">
      <alignment horizontal="center"/>
    </xf>
    <xf numFmtId="165" fontId="4" fillId="0" borderId="0" xfId="0" applyFont="1" applyAlignment="1">
      <alignment horizontal="right"/>
    </xf>
    <xf numFmtId="165" fontId="4" fillId="2" borderId="1" xfId="0" applyFont="1" applyFill="1" applyBorder="1" applyAlignment="1">
      <alignment horizontal="center"/>
    </xf>
    <xf numFmtId="165" fontId="2" fillId="0" borderId="1" xfId="0" applyFont="1" applyBorder="1" applyAlignment="1">
      <alignment horizontal="center"/>
    </xf>
    <xf numFmtId="165" fontId="4" fillId="0" borderId="0" xfId="0" applyFont="1"/>
    <xf numFmtId="165" fontId="6" fillId="0" borderId="0" xfId="0" applyFont="1"/>
    <xf numFmtId="165" fontId="2" fillId="0" borderId="0" xfId="0" applyFont="1"/>
    <xf numFmtId="165" fontId="4" fillId="0" borderId="0" xfId="0" applyFont="1" applyAlignment="1">
      <alignment horizontal="left"/>
    </xf>
    <xf numFmtId="165" fontId="4" fillId="0" borderId="1" xfId="0" applyFont="1" applyBorder="1" applyAlignment="1">
      <alignment horizontal="right"/>
    </xf>
    <xf numFmtId="165" fontId="8" fillId="0" borderId="0" xfId="0" applyFont="1"/>
    <xf numFmtId="165" fontId="6" fillId="0" borderId="0" xfId="0" applyFont="1" applyAlignment="1">
      <alignment horizontal="centerContinuous"/>
    </xf>
    <xf numFmtId="165" fontId="7" fillId="0" borderId="0" xfId="0" applyFont="1" applyAlignment="1">
      <alignment horizontal="center"/>
    </xf>
    <xf numFmtId="169" fontId="2" fillId="0" borderId="0" xfId="0" applyNumberFormat="1" applyFont="1" applyProtection="1"/>
    <xf numFmtId="2" fontId="4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center"/>
    </xf>
    <xf numFmtId="172" fontId="4" fillId="0" borderId="1" xfId="0" applyNumberFormat="1" applyFont="1" applyBorder="1" applyAlignment="1" applyProtection="1">
      <alignment horizontal="right"/>
    </xf>
    <xf numFmtId="172" fontId="2" fillId="0" borderId="1" xfId="0" applyNumberFormat="1" applyFont="1" applyBorder="1" applyProtection="1"/>
    <xf numFmtId="172" fontId="4" fillId="0" borderId="1" xfId="0" applyNumberFormat="1" applyFont="1" applyBorder="1" applyProtection="1"/>
    <xf numFmtId="172" fontId="2" fillId="2" borderId="1" xfId="0" applyNumberFormat="1" applyFont="1" applyFill="1" applyBorder="1" applyProtection="1"/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49" fontId="2" fillId="0" borderId="0" xfId="0" applyNumberFormat="1" applyFont="1"/>
    <xf numFmtId="49" fontId="0" fillId="0" borderId="0" xfId="0" applyNumberFormat="1"/>
    <xf numFmtId="168" fontId="9" fillId="2" borderId="1" xfId="0" applyNumberFormat="1" applyFont="1" applyFill="1" applyBorder="1" applyAlignment="1">
      <alignment horizontal="center"/>
    </xf>
    <xf numFmtId="165" fontId="13" fillId="0" borderId="2" xfId="0" applyFont="1" applyBorder="1" applyAlignment="1">
      <alignment horizontal="center"/>
    </xf>
    <xf numFmtId="165" fontId="0" fillId="0" borderId="3" xfId="0" applyBorder="1"/>
    <xf numFmtId="165" fontId="11" fillId="0" borderId="4" xfId="0" applyFont="1" applyBorder="1" applyAlignment="1">
      <alignment horizontal="right"/>
    </xf>
    <xf numFmtId="165" fontId="0" fillId="0" borderId="5" xfId="0" applyBorder="1"/>
    <xf numFmtId="165" fontId="0" fillId="0" borderId="6" xfId="0" applyBorder="1"/>
    <xf numFmtId="165" fontId="11" fillId="0" borderId="7" xfId="0" applyFont="1" applyBorder="1" applyAlignment="1">
      <alignment horizontal="right"/>
    </xf>
    <xf numFmtId="165" fontId="15" fillId="0" borderId="0" xfId="0" applyFont="1" applyAlignment="1">
      <alignment horizontal="right"/>
    </xf>
    <xf numFmtId="166" fontId="16" fillId="3" borderId="0" xfId="0" applyNumberFormat="1" applyFont="1" applyFill="1" applyBorder="1" applyAlignment="1" applyProtection="1">
      <alignment horizontal="center"/>
      <protection locked="0"/>
    </xf>
    <xf numFmtId="166" fontId="16" fillId="3" borderId="0" xfId="0" applyNumberFormat="1" applyFont="1" applyFill="1" applyBorder="1" applyAlignment="1" applyProtection="1">
      <alignment horizontal="center"/>
    </xf>
    <xf numFmtId="165" fontId="1" fillId="0" borderId="0" xfId="0" applyFont="1" applyAlignment="1">
      <alignment horizontal="center"/>
    </xf>
    <xf numFmtId="166" fontId="0" fillId="0" borderId="0" xfId="0" applyNumberFormat="1"/>
    <xf numFmtId="165" fontId="6" fillId="0" borderId="0" xfId="0" applyFont="1" applyAlignment="1">
      <alignment horizontal="right"/>
    </xf>
    <xf numFmtId="172" fontId="4" fillId="0" borderId="1" xfId="0" applyNumberFormat="1" applyFont="1" applyBorder="1"/>
    <xf numFmtId="165" fontId="17" fillId="0" borderId="0" xfId="0" applyFont="1" applyAlignment="1">
      <alignment horizontal="center"/>
    </xf>
    <xf numFmtId="165" fontId="17" fillId="0" borderId="0" xfId="0" applyFont="1" applyAlignment="1" applyProtection="1">
      <alignment horizontal="right"/>
    </xf>
    <xf numFmtId="165" fontId="18" fillId="0" borderId="0" xfId="0" applyFont="1" applyAlignment="1" applyProtection="1">
      <alignment horizontal="center"/>
    </xf>
    <xf numFmtId="165" fontId="18" fillId="0" borderId="0" xfId="0" applyFont="1" applyAlignment="1">
      <alignment horizontal="center"/>
    </xf>
    <xf numFmtId="165" fontId="1" fillId="0" borderId="0" xfId="0" applyFont="1" applyAlignment="1" applyProtection="1">
      <alignment horizontal="left"/>
    </xf>
    <xf numFmtId="165" fontId="5" fillId="0" borderId="0" xfId="0" applyFont="1" applyAlignment="1">
      <alignment horizontal="left"/>
    </xf>
    <xf numFmtId="171" fontId="19" fillId="0" borderId="0" xfId="0" applyNumberFormat="1" applyFont="1"/>
    <xf numFmtId="165" fontId="20" fillId="0" borderId="0" xfId="0" applyFont="1"/>
    <xf numFmtId="171" fontId="22" fillId="0" borderId="0" xfId="0" applyNumberFormat="1" applyFont="1"/>
    <xf numFmtId="165" fontId="17" fillId="0" borderId="0" xfId="0" applyFont="1"/>
    <xf numFmtId="37" fontId="17" fillId="3" borderId="8" xfId="0" applyNumberFormat="1" applyFont="1" applyFill="1" applyBorder="1" applyAlignment="1" applyProtection="1">
      <alignment horizontal="right"/>
    </xf>
    <xf numFmtId="165" fontId="15" fillId="0" borderId="0" xfId="0" applyFont="1" applyAlignment="1" applyProtection="1">
      <alignment horizontal="right"/>
    </xf>
    <xf numFmtId="165" fontId="17" fillId="4" borderId="8" xfId="0" applyFont="1" applyFill="1" applyBorder="1" applyAlignment="1">
      <alignment horizontal="right"/>
    </xf>
    <xf numFmtId="167" fontId="17" fillId="5" borderId="8" xfId="0" applyNumberFormat="1" applyFont="1" applyFill="1" applyBorder="1" applyAlignment="1" applyProtection="1">
      <alignment horizontal="right"/>
    </xf>
    <xf numFmtId="37" fontId="17" fillId="5" borderId="8" xfId="0" applyNumberFormat="1" applyFont="1" applyFill="1" applyBorder="1" applyAlignment="1" applyProtection="1">
      <alignment horizontal="right"/>
    </xf>
    <xf numFmtId="165" fontId="17" fillId="6" borderId="8" xfId="0" applyFont="1" applyFill="1" applyBorder="1"/>
    <xf numFmtId="165" fontId="23" fillId="0" borderId="0" xfId="0" applyFont="1"/>
    <xf numFmtId="171" fontId="22" fillId="0" borderId="9" xfId="0" applyNumberFormat="1" applyFont="1" applyBorder="1"/>
    <xf numFmtId="165" fontId="22" fillId="0" borderId="9" xfId="0" applyFont="1" applyBorder="1"/>
    <xf numFmtId="165" fontId="20" fillId="0" borderId="10" xfId="0" applyFont="1" applyBorder="1"/>
    <xf numFmtId="165" fontId="20" fillId="0" borderId="11" xfId="0" applyFont="1" applyBorder="1"/>
    <xf numFmtId="165" fontId="20" fillId="0" borderId="12" xfId="0" applyFont="1" applyBorder="1"/>
    <xf numFmtId="165" fontId="24" fillId="0" borderId="0" xfId="0" applyFont="1" applyProtection="1"/>
    <xf numFmtId="165" fontId="6" fillId="0" borderId="0" xfId="0" applyFont="1" applyAlignment="1" applyProtection="1">
      <alignment horizontal="centerContinuous"/>
    </xf>
    <xf numFmtId="165" fontId="4" fillId="0" borderId="0" xfId="0" applyFont="1" applyProtection="1"/>
    <xf numFmtId="165" fontId="4" fillId="0" borderId="0" xfId="0" applyFont="1" applyAlignment="1" applyProtection="1">
      <alignment horizontal="centerContinuous"/>
    </xf>
    <xf numFmtId="165" fontId="24" fillId="0" borderId="0" xfId="0" applyFont="1" applyAlignment="1" applyProtection="1">
      <alignment horizontal="centerContinuous"/>
    </xf>
    <xf numFmtId="165" fontId="6" fillId="0" borderId="0" xfId="0" applyFont="1" applyProtection="1"/>
    <xf numFmtId="165" fontId="6" fillId="0" borderId="0" xfId="0" applyFont="1" applyAlignment="1" applyProtection="1">
      <alignment horizontal="right"/>
    </xf>
    <xf numFmtId="165" fontId="10" fillId="0" borderId="0" xfId="0" applyFont="1" applyProtection="1"/>
    <xf numFmtId="165" fontId="15" fillId="0" borderId="0" xfId="0" applyFont="1"/>
    <xf numFmtId="165" fontId="16" fillId="0" borderId="0" xfId="0" applyFont="1" applyProtection="1">
      <protection locked="0"/>
    </xf>
    <xf numFmtId="165" fontId="0" fillId="0" borderId="0" xfId="0" applyAlignment="1">
      <alignment horizontal="center"/>
    </xf>
    <xf numFmtId="49" fontId="15" fillId="0" borderId="0" xfId="0" applyNumberFormat="1" applyFont="1" applyAlignment="1">
      <alignment horizontal="right"/>
    </xf>
    <xf numFmtId="49" fontId="15" fillId="0" borderId="13" xfId="0" applyNumberFormat="1" applyFont="1" applyBorder="1" applyAlignment="1">
      <alignment horizontal="right"/>
    </xf>
    <xf numFmtId="49" fontId="15" fillId="0" borderId="14" xfId="0" applyNumberFormat="1" applyFont="1" applyBorder="1" applyAlignment="1">
      <alignment horizontal="right"/>
    </xf>
    <xf numFmtId="49" fontId="15" fillId="0" borderId="2" xfId="0" applyNumberFormat="1" applyFont="1" applyBorder="1" applyAlignment="1">
      <alignment horizontal="right"/>
    </xf>
    <xf numFmtId="49" fontId="15" fillId="0" borderId="15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right"/>
    </xf>
    <xf numFmtId="165" fontId="20" fillId="0" borderId="14" xfId="0" applyFont="1" applyBorder="1"/>
    <xf numFmtId="165" fontId="20" fillId="0" borderId="2" xfId="0" applyFont="1" applyBorder="1"/>
    <xf numFmtId="165" fontId="20" fillId="0" borderId="13" xfId="0" applyFont="1" applyBorder="1"/>
    <xf numFmtId="164" fontId="25" fillId="0" borderId="0" xfId="0" applyNumberFormat="1" applyFont="1" applyAlignment="1" applyProtection="1">
      <alignment horizontal="right"/>
    </xf>
    <xf numFmtId="165" fontId="25" fillId="0" borderId="16" xfId="0" applyFont="1" applyBorder="1" applyProtection="1"/>
    <xf numFmtId="165" fontId="26" fillId="0" borderId="16" xfId="0" applyFont="1" applyBorder="1" applyProtection="1"/>
    <xf numFmtId="165" fontId="25" fillId="0" borderId="0" xfId="0" applyFont="1" applyAlignment="1" applyProtection="1">
      <alignment horizontal="right"/>
    </xf>
    <xf numFmtId="165" fontId="25" fillId="0" borderId="0" xfId="0" applyFont="1" applyProtection="1"/>
    <xf numFmtId="165" fontId="26" fillId="0" borderId="0" xfId="0" applyFont="1" applyProtection="1"/>
    <xf numFmtId="165" fontId="25" fillId="0" borderId="16" xfId="0" applyFont="1" applyBorder="1" applyAlignment="1" applyProtection="1">
      <alignment horizontal="center"/>
    </xf>
    <xf numFmtId="165" fontId="25" fillId="0" borderId="0" xfId="0" applyFont="1" applyAlignment="1" applyProtection="1">
      <alignment horizontal="centerContinuous"/>
    </xf>
    <xf numFmtId="165" fontId="26" fillId="0" borderId="0" xfId="0" applyFont="1" applyAlignment="1" applyProtection="1">
      <alignment horizontal="centerContinuous"/>
    </xf>
    <xf numFmtId="1" fontId="25" fillId="0" borderId="16" xfId="0" applyNumberFormat="1" applyFont="1" applyBorder="1" applyAlignment="1" applyProtection="1">
      <alignment horizontal="center"/>
    </xf>
    <xf numFmtId="165" fontId="27" fillId="0" borderId="0" xfId="0" applyFont="1"/>
    <xf numFmtId="168" fontId="25" fillId="0" borderId="16" xfId="0" applyNumberFormat="1" applyFont="1" applyBorder="1" applyAlignment="1" applyProtection="1">
      <alignment horizontal="center"/>
    </xf>
    <xf numFmtId="1" fontId="25" fillId="0" borderId="0" xfId="0" applyNumberFormat="1" applyFont="1" applyProtection="1"/>
    <xf numFmtId="1" fontId="25" fillId="0" borderId="0" xfId="0" applyNumberFormat="1" applyFont="1" applyBorder="1" applyAlignment="1" applyProtection="1">
      <alignment horizontal="center"/>
    </xf>
    <xf numFmtId="165" fontId="25" fillId="0" borderId="0" xfId="0" applyFont="1" applyBorder="1" applyProtection="1"/>
    <xf numFmtId="168" fontId="25" fillId="0" borderId="0" xfId="0" applyNumberFormat="1" applyFont="1" applyBorder="1" applyAlignment="1" applyProtection="1">
      <alignment horizontal="center"/>
    </xf>
    <xf numFmtId="165" fontId="26" fillId="0" borderId="0" xfId="0" applyFont="1" applyBorder="1" applyProtection="1"/>
    <xf numFmtId="1" fontId="25" fillId="0" borderId="0" xfId="0" applyNumberFormat="1" applyFont="1" applyBorder="1" applyProtection="1"/>
    <xf numFmtId="165" fontId="28" fillId="0" borderId="16" xfId="0" applyFont="1" applyBorder="1" applyAlignment="1"/>
    <xf numFmtId="165" fontId="27" fillId="0" borderId="16" xfId="0" applyFont="1" applyBorder="1" applyAlignment="1"/>
    <xf numFmtId="165" fontId="28" fillId="0" borderId="17" xfId="0" applyFont="1" applyBorder="1" applyAlignment="1"/>
    <xf numFmtId="165" fontId="27" fillId="0" borderId="17" xfId="0" applyFont="1" applyBorder="1" applyAlignment="1"/>
    <xf numFmtId="172" fontId="25" fillId="0" borderId="16" xfId="0" applyNumberFormat="1" applyFont="1" applyBorder="1" applyAlignment="1" applyProtection="1">
      <alignment horizontal="center"/>
    </xf>
    <xf numFmtId="169" fontId="25" fillId="0" borderId="16" xfId="0" applyNumberFormat="1" applyFont="1" applyBorder="1" applyAlignment="1" applyProtection="1">
      <alignment horizontal="right"/>
    </xf>
    <xf numFmtId="165" fontId="27" fillId="0" borderId="0" xfId="0" applyFont="1" applyProtection="1"/>
    <xf numFmtId="169" fontId="25" fillId="0" borderId="0" xfId="0" applyNumberFormat="1" applyFont="1" applyProtection="1"/>
    <xf numFmtId="165" fontId="25" fillId="0" borderId="16" xfId="0" applyNumberFormat="1" applyFont="1" applyBorder="1" applyAlignment="1" applyProtection="1">
      <alignment horizontal="center"/>
    </xf>
    <xf numFmtId="1" fontId="25" fillId="0" borderId="16" xfId="0" applyNumberFormat="1" applyFont="1" applyBorder="1" applyAlignment="1" applyProtection="1">
      <alignment horizontal="right"/>
    </xf>
    <xf numFmtId="1" fontId="25" fillId="0" borderId="16" xfId="0" applyNumberFormat="1" applyFont="1" applyBorder="1" applyProtection="1"/>
    <xf numFmtId="165" fontId="28" fillId="0" borderId="0" xfId="0" applyFont="1"/>
    <xf numFmtId="165" fontId="28" fillId="0" borderId="0" xfId="0" applyFont="1" applyProtection="1"/>
    <xf numFmtId="49" fontId="17" fillId="0" borderId="0" xfId="0" applyNumberFormat="1" applyFont="1"/>
    <xf numFmtId="49" fontId="15" fillId="0" borderId="0" xfId="0" applyNumberFormat="1" applyFont="1" applyBorder="1" applyAlignment="1">
      <alignment horizontal="right"/>
    </xf>
    <xf numFmtId="49" fontId="15" fillId="0" borderId="18" xfId="0" applyNumberFormat="1" applyFont="1" applyBorder="1" applyAlignment="1">
      <alignment horizontal="right"/>
    </xf>
    <xf numFmtId="165" fontId="14" fillId="0" borderId="19" xfId="0" applyFont="1" applyBorder="1" applyAlignment="1">
      <alignment horizontal="right"/>
    </xf>
    <xf numFmtId="49" fontId="2" fillId="0" borderId="0" xfId="1" applyNumberFormat="1" applyFont="1"/>
    <xf numFmtId="169" fontId="2" fillId="0" borderId="0" xfId="1" applyNumberFormat="1" applyFont="1" applyProtection="1"/>
    <xf numFmtId="168" fontId="4" fillId="0" borderId="0" xfId="0" applyNumberFormat="1" applyFont="1"/>
    <xf numFmtId="165" fontId="25" fillId="0" borderId="0" xfId="0" applyFont="1" applyAlignment="1" applyProtection="1">
      <alignment horizontal="left"/>
    </xf>
    <xf numFmtId="165" fontId="25" fillId="0" borderId="20" xfId="0" applyFont="1" applyBorder="1" applyProtection="1"/>
    <xf numFmtId="165" fontId="25" fillId="0" borderId="0" xfId="0" applyFont="1" applyAlignment="1" applyProtection="1">
      <alignment horizontal="center"/>
    </xf>
    <xf numFmtId="1" fontId="25" fillId="0" borderId="21" xfId="0" applyNumberFormat="1" applyFont="1" applyBorder="1" applyAlignment="1" applyProtection="1">
      <alignment horizontal="center"/>
    </xf>
    <xf numFmtId="165" fontId="1" fillId="0" borderId="0" xfId="0" applyFont="1" applyAlignment="1">
      <alignment horizontal="right"/>
    </xf>
    <xf numFmtId="169" fontId="1" fillId="0" borderId="20" xfId="0" applyNumberFormat="1" applyFont="1" applyBorder="1"/>
    <xf numFmtId="1" fontId="25" fillId="0" borderId="1" xfId="0" applyNumberFormat="1" applyFont="1" applyBorder="1" applyAlignment="1" applyProtection="1">
      <alignment horizontal="center"/>
    </xf>
    <xf numFmtId="2" fontId="0" fillId="0" borderId="0" xfId="0" applyNumberFormat="1"/>
    <xf numFmtId="165" fontId="1" fillId="0" borderId="0" xfId="0" applyFont="1"/>
    <xf numFmtId="165" fontId="0" fillId="9" borderId="9" xfId="0" applyFill="1" applyBorder="1" applyAlignment="1">
      <alignment horizontal="center"/>
    </xf>
    <xf numFmtId="165" fontId="30" fillId="0" borderId="0" xfId="0" applyFont="1" applyAlignment="1">
      <alignment horizontal="center"/>
    </xf>
    <xf numFmtId="165" fontId="25" fillId="0" borderId="0" xfId="0" quotePrefix="1" applyFont="1" applyAlignment="1" applyProtection="1">
      <alignment horizontal="center"/>
    </xf>
    <xf numFmtId="165" fontId="25" fillId="0" borderId="0" xfId="0" quotePrefix="1" applyFont="1" applyAlignment="1" applyProtection="1">
      <alignment horizontal="left"/>
    </xf>
    <xf numFmtId="165" fontId="0" fillId="0" borderId="0" xfId="0" applyBorder="1"/>
    <xf numFmtId="165" fontId="32" fillId="0" borderId="0" xfId="0" applyFont="1" applyBorder="1" applyAlignment="1">
      <alignment horizontal="center"/>
    </xf>
    <xf numFmtId="165" fontId="1" fillId="0" borderId="0" xfId="0" applyFont="1" applyAlignment="1">
      <alignment horizontal="left"/>
    </xf>
    <xf numFmtId="165" fontId="34" fillId="9" borderId="0" xfId="0" applyFont="1" applyFill="1"/>
    <xf numFmtId="49" fontId="2" fillId="0" borderId="0" xfId="0" applyNumberFormat="1" applyFont="1" applyFill="1"/>
    <xf numFmtId="169" fontId="2" fillId="0" borderId="0" xfId="0" applyNumberFormat="1" applyFont="1" applyFill="1" applyProtection="1"/>
    <xf numFmtId="169" fontId="2" fillId="12" borderId="0" xfId="0" applyNumberFormat="1" applyFont="1" applyFill="1" applyProtection="1"/>
    <xf numFmtId="169" fontId="34" fillId="9" borderId="0" xfId="0" applyNumberFormat="1" applyFont="1" applyFill="1" applyProtection="1"/>
    <xf numFmtId="169" fontId="34" fillId="9" borderId="0" xfId="1" applyNumberFormat="1" applyFont="1" applyFill="1" applyProtection="1"/>
    <xf numFmtId="169" fontId="2" fillId="0" borderId="0" xfId="0" applyNumberFormat="1" applyFont="1" applyAlignment="1" applyProtection="1">
      <alignment horizontal="right"/>
    </xf>
    <xf numFmtId="170" fontId="2" fillId="0" borderId="0" xfId="0" applyNumberFormat="1" applyFont="1" applyProtection="1"/>
    <xf numFmtId="165" fontId="11" fillId="0" borderId="0" xfId="0" applyFont="1" applyBorder="1" applyAlignment="1">
      <alignment horizontal="right"/>
    </xf>
    <xf numFmtId="165" fontId="14" fillId="0" borderId="0" xfId="0" applyFont="1" applyBorder="1" applyAlignment="1">
      <alignment horizontal="right"/>
    </xf>
    <xf numFmtId="165" fontId="13" fillId="0" borderId="0" xfId="0" applyFont="1" applyBorder="1" applyAlignment="1">
      <alignment horizontal="center"/>
    </xf>
    <xf numFmtId="165" fontId="20" fillId="0" borderId="0" xfId="0" applyFont="1" applyBorder="1" applyAlignment="1">
      <alignment horizontal="center"/>
    </xf>
    <xf numFmtId="165" fontId="29" fillId="0" borderId="0" xfId="0" applyFont="1" applyBorder="1" applyAlignment="1">
      <alignment wrapText="1"/>
    </xf>
    <xf numFmtId="165" fontId="0" fillId="0" borderId="0" xfId="0" applyBorder="1" applyAlignment="1" applyProtection="1">
      <alignment horizontal="center"/>
      <protection locked="0"/>
    </xf>
    <xf numFmtId="165" fontId="11" fillId="0" borderId="5" xfId="0" applyFont="1" applyBorder="1" applyAlignment="1">
      <alignment horizontal="right"/>
    </xf>
    <xf numFmtId="172" fontId="13" fillId="0" borderId="6" xfId="0" applyNumberFormat="1" applyFont="1" applyBorder="1" applyAlignment="1" applyProtection="1">
      <alignment horizontal="center"/>
      <protection locked="0"/>
    </xf>
    <xf numFmtId="172" fontId="35" fillId="0" borderId="7" xfId="0" applyNumberFormat="1" applyFont="1" applyBorder="1" applyAlignment="1" applyProtection="1">
      <alignment horizontal="center"/>
      <protection locked="0"/>
    </xf>
    <xf numFmtId="165" fontId="31" fillId="0" borderId="5" xfId="0" applyFont="1" applyBorder="1" applyAlignment="1">
      <alignment horizontal="right"/>
    </xf>
    <xf numFmtId="172" fontId="36" fillId="13" borderId="23" xfId="0" applyNumberFormat="1" applyFont="1" applyFill="1" applyBorder="1" applyAlignment="1" applyProtection="1">
      <alignment horizontal="center"/>
      <protection locked="0"/>
    </xf>
    <xf numFmtId="165" fontId="17" fillId="0" borderId="5" xfId="0" applyFont="1" applyBorder="1" applyAlignment="1">
      <alignment horizontal="right"/>
    </xf>
    <xf numFmtId="172" fontId="36" fillId="13" borderId="24" xfId="0" applyNumberFormat="1" applyFont="1" applyFill="1" applyBorder="1" applyAlignment="1" applyProtection="1">
      <alignment horizontal="center"/>
      <protection locked="0"/>
    </xf>
    <xf numFmtId="165" fontId="17" fillId="0" borderId="6" xfId="0" applyFont="1" applyBorder="1" applyAlignment="1">
      <alignment horizontal="right"/>
    </xf>
    <xf numFmtId="172" fontId="36" fillId="13" borderId="25" xfId="0" applyNumberFormat="1" applyFont="1" applyFill="1" applyBorder="1" applyAlignment="1" applyProtection="1">
      <alignment horizontal="center"/>
      <protection locked="0"/>
    </xf>
    <xf numFmtId="165" fontId="11" fillId="0" borderId="26" xfId="0" applyFont="1" applyBorder="1" applyAlignment="1">
      <alignment horizontal="right"/>
    </xf>
    <xf numFmtId="165" fontId="14" fillId="0" borderId="26" xfId="0" applyFont="1" applyBorder="1" applyAlignment="1">
      <alignment horizontal="right"/>
    </xf>
    <xf numFmtId="166" fontId="16" fillId="0" borderId="0" xfId="0" applyNumberFormat="1" applyFont="1" applyFill="1" applyBorder="1" applyAlignment="1" applyProtection="1">
      <alignment horizontal="center"/>
      <protection locked="0"/>
    </xf>
    <xf numFmtId="166" fontId="16" fillId="0" borderId="0" xfId="0" applyNumberFormat="1" applyFont="1" applyFill="1" applyBorder="1" applyAlignment="1" applyProtection="1">
      <alignment horizontal="center"/>
    </xf>
    <xf numFmtId="165" fontId="29" fillId="0" borderId="0" xfId="0" applyFont="1" applyBorder="1" applyAlignment="1"/>
    <xf numFmtId="166" fontId="16" fillId="3" borderId="27" xfId="0" applyNumberFormat="1" applyFont="1" applyFill="1" applyBorder="1" applyAlignment="1" applyProtection="1">
      <alignment horizontal="center"/>
    </xf>
    <xf numFmtId="165" fontId="0" fillId="0" borderId="0" xfId="0" applyAlignment="1">
      <alignment horizontal="left"/>
    </xf>
    <xf numFmtId="0" fontId="15" fillId="0" borderId="14" xfId="0" applyNumberFormat="1" applyFont="1" applyBorder="1" applyAlignment="1">
      <alignment horizontal="right"/>
    </xf>
    <xf numFmtId="165" fontId="25" fillId="0" borderId="0" xfId="0" applyFont="1" applyBorder="1" applyAlignment="1" applyProtection="1">
      <alignment horizontal="right"/>
    </xf>
    <xf numFmtId="165" fontId="25" fillId="0" borderId="16" xfId="0" applyFont="1" applyBorder="1" applyAlignment="1" applyProtection="1">
      <alignment horizontal="left"/>
    </xf>
    <xf numFmtId="168" fontId="0" fillId="0" borderId="0" xfId="0" applyNumberFormat="1"/>
    <xf numFmtId="165" fontId="25" fillId="0" borderId="0" xfId="0" applyFont="1" applyBorder="1" applyAlignment="1">
      <alignment horizontal="right"/>
    </xf>
    <xf numFmtId="165" fontId="27" fillId="0" borderId="0" xfId="0" applyFont="1" applyBorder="1" applyAlignment="1"/>
    <xf numFmtId="165" fontId="33" fillId="11" borderId="22" xfId="0" applyFont="1" applyFill="1" applyBorder="1" applyAlignment="1" applyProtection="1">
      <alignment horizontal="left"/>
      <protection locked="0"/>
    </xf>
    <xf numFmtId="14" fontId="0" fillId="0" borderId="0" xfId="0" applyNumberFormat="1"/>
    <xf numFmtId="165" fontId="37" fillId="0" borderId="0" xfId="0" applyFont="1"/>
    <xf numFmtId="165" fontId="0" fillId="26" borderId="0" xfId="0" applyFill="1"/>
    <xf numFmtId="165" fontId="38" fillId="26" borderId="31" xfId="0" applyFont="1" applyFill="1" applyBorder="1" applyAlignment="1">
      <alignment vertical="center"/>
    </xf>
    <xf numFmtId="165" fontId="39" fillId="26" borderId="31" xfId="0" applyFont="1" applyFill="1" applyBorder="1" applyAlignment="1">
      <alignment vertical="center"/>
    </xf>
    <xf numFmtId="165" fontId="0" fillId="27" borderId="0" xfId="0" applyFill="1"/>
    <xf numFmtId="165" fontId="40" fillId="0" borderId="0" xfId="0" applyFont="1" applyBorder="1" applyAlignment="1" applyProtection="1">
      <alignment horizontal="left"/>
    </xf>
    <xf numFmtId="165" fontId="41" fillId="0" borderId="0" xfId="0" applyFont="1" applyBorder="1" applyAlignment="1" applyProtection="1">
      <alignment horizontal="left"/>
    </xf>
    <xf numFmtId="1" fontId="40" fillId="0" borderId="16" xfId="0" applyNumberFormat="1" applyFont="1" applyBorder="1" applyProtection="1"/>
    <xf numFmtId="165" fontId="0" fillId="0" borderId="0" xfId="0" applyFill="1" applyBorder="1"/>
    <xf numFmtId="0" fontId="15" fillId="0" borderId="2" xfId="0" applyNumberFormat="1" applyFont="1" applyBorder="1" applyAlignment="1">
      <alignment horizontal="right"/>
    </xf>
    <xf numFmtId="49" fontId="15" fillId="0" borderId="32" xfId="0" applyNumberFormat="1" applyFont="1" applyBorder="1" applyAlignment="1">
      <alignment horizontal="right"/>
    </xf>
    <xf numFmtId="165" fontId="42" fillId="0" borderId="0" xfId="0" applyFont="1" applyAlignment="1" applyProtection="1">
      <alignment horizontal="left"/>
    </xf>
    <xf numFmtId="49" fontId="36" fillId="8" borderId="9" xfId="0" applyNumberFormat="1" applyFont="1" applyFill="1" applyBorder="1" applyAlignment="1" applyProtection="1">
      <alignment horizontal="left"/>
      <protection locked="0"/>
    </xf>
    <xf numFmtId="49" fontId="36" fillId="7" borderId="28" xfId="0" applyNumberFormat="1" applyFont="1" applyFill="1" applyBorder="1" applyAlignment="1" applyProtection="1">
      <alignment horizontal="left"/>
      <protection locked="0"/>
    </xf>
    <xf numFmtId="49" fontId="36" fillId="15" borderId="28" xfId="0" applyNumberFormat="1" applyFont="1" applyFill="1" applyBorder="1" applyAlignment="1" applyProtection="1">
      <alignment horizontal="left"/>
      <protection locked="0"/>
    </xf>
    <xf numFmtId="49" fontId="36" fillId="17" borderId="28" xfId="0" applyNumberFormat="1" applyFont="1" applyFill="1" applyBorder="1" applyAlignment="1" applyProtection="1">
      <alignment horizontal="left"/>
      <protection locked="0"/>
    </xf>
    <xf numFmtId="1" fontId="36" fillId="18" borderId="28" xfId="0" applyNumberFormat="1" applyFont="1" applyFill="1" applyBorder="1" applyAlignment="1" applyProtection="1">
      <alignment horizontal="left"/>
      <protection locked="0"/>
    </xf>
    <xf numFmtId="49" fontId="36" fillId="19" borderId="28" xfId="0" applyNumberFormat="1" applyFont="1" applyFill="1" applyBorder="1" applyAlignment="1" applyProtection="1">
      <alignment horizontal="left"/>
      <protection locked="0"/>
    </xf>
    <xf numFmtId="1" fontId="36" fillId="20" borderId="28" xfId="0" applyNumberFormat="1" applyFont="1" applyFill="1" applyBorder="1" applyAlignment="1" applyProtection="1">
      <alignment horizontal="left"/>
      <protection locked="0"/>
    </xf>
    <xf numFmtId="49" fontId="36" fillId="21" borderId="28" xfId="0" applyNumberFormat="1" applyFont="1" applyFill="1" applyBorder="1" applyAlignment="1" applyProtection="1">
      <alignment horizontal="left"/>
      <protection locked="0"/>
    </xf>
    <xf numFmtId="2" fontId="36" fillId="22" borderId="28" xfId="0" applyNumberFormat="1" applyFont="1" applyFill="1" applyBorder="1" applyAlignment="1" applyProtection="1">
      <alignment horizontal="left"/>
      <protection locked="0"/>
    </xf>
    <xf numFmtId="49" fontId="36" fillId="11" borderId="28" xfId="0" applyNumberFormat="1" applyFont="1" applyFill="1" applyBorder="1" applyAlignment="1" applyProtection="1">
      <alignment horizontal="left"/>
      <protection locked="0"/>
    </xf>
    <xf numFmtId="2" fontId="36" fillId="23" borderId="28" xfId="0" applyNumberFormat="1" applyFont="1" applyFill="1" applyBorder="1" applyAlignment="1" applyProtection="1">
      <alignment horizontal="left"/>
      <protection locked="0"/>
    </xf>
    <xf numFmtId="49" fontId="36" fillId="24" borderId="28" xfId="0" applyNumberFormat="1" applyFont="1" applyFill="1" applyBorder="1" applyAlignment="1" applyProtection="1">
      <alignment horizontal="left"/>
      <protection locked="0"/>
    </xf>
    <xf numFmtId="2" fontId="36" fillId="25" borderId="28" xfId="0" applyNumberFormat="1" applyFont="1" applyFill="1" applyBorder="1" applyAlignment="1" applyProtection="1">
      <alignment horizontal="left"/>
      <protection locked="0"/>
    </xf>
    <xf numFmtId="49" fontId="36" fillId="14" borderId="9" xfId="0" applyNumberFormat="1" applyFont="1" applyFill="1" applyBorder="1" applyAlignment="1" applyProtection="1">
      <alignment horizontal="left"/>
      <protection locked="0"/>
    </xf>
    <xf numFmtId="168" fontId="36" fillId="0" borderId="2" xfId="0" applyNumberFormat="1" applyFont="1" applyFill="1" applyBorder="1" applyAlignment="1" applyProtection="1">
      <alignment horizontal="left"/>
      <protection locked="0"/>
    </xf>
    <xf numFmtId="165" fontId="43" fillId="0" borderId="0" xfId="0" applyFont="1" applyAlignment="1" applyProtection="1">
      <alignment horizontal="left"/>
    </xf>
    <xf numFmtId="165" fontId="36" fillId="17" borderId="30" xfId="0" applyFont="1" applyFill="1" applyBorder="1" applyAlignment="1" applyProtection="1">
      <alignment horizontal="left"/>
      <protection locked="0"/>
    </xf>
    <xf numFmtId="165" fontId="36" fillId="19" borderId="30" xfId="0" applyFont="1" applyFill="1" applyBorder="1" applyAlignment="1" applyProtection="1">
      <alignment horizontal="left"/>
      <protection locked="0"/>
    </xf>
    <xf numFmtId="165" fontId="36" fillId="21" borderId="30" xfId="0" applyFont="1" applyFill="1" applyBorder="1" applyAlignment="1" applyProtection="1">
      <alignment horizontal="left"/>
      <protection locked="0"/>
    </xf>
    <xf numFmtId="165" fontId="36" fillId="11" borderId="30" xfId="0" applyFont="1" applyFill="1" applyBorder="1" applyAlignment="1" applyProtection="1">
      <alignment horizontal="left"/>
      <protection locked="0"/>
    </xf>
    <xf numFmtId="0" fontId="45" fillId="0" borderId="0" xfId="2" applyFont="1"/>
    <xf numFmtId="0" fontId="44" fillId="0" borderId="0" xfId="2"/>
    <xf numFmtId="0" fontId="44" fillId="0" borderId="20" xfId="2" applyBorder="1"/>
    <xf numFmtId="0" fontId="44" fillId="0" borderId="0" xfId="2" applyAlignment="1">
      <alignment horizontal="center"/>
    </xf>
    <xf numFmtId="0" fontId="46" fillId="31" borderId="10" xfId="2" applyFont="1" applyFill="1" applyBorder="1"/>
    <xf numFmtId="0" fontId="46" fillId="31" borderId="27" xfId="2" applyFont="1" applyFill="1" applyBorder="1"/>
    <xf numFmtId="0" fontId="44" fillId="31" borderId="27" xfId="2" applyFill="1" applyBorder="1"/>
    <xf numFmtId="0" fontId="44" fillId="31" borderId="18" xfId="2" applyFill="1" applyBorder="1"/>
    <xf numFmtId="0" fontId="44" fillId="31" borderId="10" xfId="2" applyFill="1" applyBorder="1"/>
    <xf numFmtId="0" fontId="44" fillId="31" borderId="27" xfId="2" applyFill="1" applyBorder="1" applyAlignment="1">
      <alignment horizontal="center"/>
    </xf>
    <xf numFmtId="166" fontId="44" fillId="31" borderId="27" xfId="2" applyNumberFormat="1" applyFill="1" applyBorder="1" applyAlignment="1">
      <alignment horizontal="center"/>
    </xf>
    <xf numFmtId="0" fontId="44" fillId="31" borderId="18" xfId="2" applyFill="1" applyBorder="1" applyAlignment="1">
      <alignment horizontal="center"/>
    </xf>
    <xf numFmtId="0" fontId="44" fillId="31" borderId="11" xfId="2" applyFill="1" applyBorder="1"/>
    <xf numFmtId="0" fontId="44" fillId="31" borderId="0" xfId="2" applyFill="1"/>
    <xf numFmtId="0" fontId="44" fillId="31" borderId="15" xfId="2" applyFill="1" applyBorder="1"/>
    <xf numFmtId="166" fontId="44" fillId="31" borderId="0" xfId="2" applyNumberFormat="1" applyFill="1" applyAlignment="1">
      <alignment horizontal="center"/>
    </xf>
    <xf numFmtId="166" fontId="44" fillId="31" borderId="15" xfId="2" applyNumberFormat="1" applyFill="1" applyBorder="1" applyAlignment="1">
      <alignment horizontal="center"/>
    </xf>
    <xf numFmtId="0" fontId="6" fillId="31" borderId="11" xfId="2" applyFont="1" applyFill="1" applyBorder="1" applyAlignment="1">
      <alignment horizontal="center"/>
    </xf>
    <xf numFmtId="168" fontId="44" fillId="31" borderId="0" xfId="2" applyNumberFormat="1" applyFill="1"/>
    <xf numFmtId="0" fontId="44" fillId="31" borderId="0" xfId="2" applyFill="1" applyAlignment="1">
      <alignment horizontal="center"/>
    </xf>
    <xf numFmtId="0" fontId="44" fillId="31" borderId="15" xfId="2" applyFill="1" applyBorder="1" applyAlignment="1">
      <alignment horizontal="center"/>
    </xf>
    <xf numFmtId="171" fontId="44" fillId="31" borderId="11" xfId="2" applyNumberFormat="1" applyFill="1" applyBorder="1"/>
    <xf numFmtId="0" fontId="47" fillId="0" borderId="2" xfId="2" applyFont="1" applyBorder="1" applyAlignment="1">
      <alignment horizontal="center"/>
    </xf>
    <xf numFmtId="0" fontId="47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25" fillId="0" borderId="13" xfId="2" applyFont="1" applyBorder="1" applyAlignment="1">
      <alignment horizontal="center"/>
    </xf>
    <xf numFmtId="0" fontId="25" fillId="0" borderId="2" xfId="2" applyFont="1" applyBorder="1" applyAlignment="1">
      <alignment horizontal="center"/>
    </xf>
    <xf numFmtId="16" fontId="6" fillId="31" borderId="11" xfId="2" quotePrefix="1" applyNumberFormat="1" applyFont="1" applyFill="1" applyBorder="1" applyAlignment="1">
      <alignment horizontal="center"/>
    </xf>
    <xf numFmtId="168" fontId="47" fillId="0" borderId="9" xfId="2" applyNumberFormat="1" applyFont="1" applyBorder="1" applyAlignment="1">
      <alignment horizontal="right"/>
    </xf>
    <xf numFmtId="168" fontId="47" fillId="0" borderId="0" xfId="2" applyNumberFormat="1" applyFont="1" applyAlignment="1">
      <alignment horizontal="right"/>
    </xf>
    <xf numFmtId="171" fontId="53" fillId="0" borderId="9" xfId="2" applyNumberFormat="1" applyFont="1" applyBorder="1" applyAlignment="1">
      <alignment horizontal="center"/>
    </xf>
    <xf numFmtId="12" fontId="6" fillId="31" borderId="11" xfId="2" quotePrefix="1" applyNumberFormat="1" applyFont="1" applyFill="1" applyBorder="1" applyAlignment="1">
      <alignment horizontal="center"/>
    </xf>
    <xf numFmtId="168" fontId="47" fillId="0" borderId="10" xfId="2" applyNumberFormat="1" applyFont="1" applyBorder="1" applyAlignment="1">
      <alignment horizontal="center"/>
    </xf>
    <xf numFmtId="168" fontId="47" fillId="0" borderId="13" xfId="2" applyNumberFormat="1" applyFont="1" applyBorder="1" applyAlignment="1">
      <alignment horizontal="center"/>
    </xf>
    <xf numFmtId="0" fontId="44" fillId="31" borderId="12" xfId="2" applyFill="1" applyBorder="1"/>
    <xf numFmtId="0" fontId="44" fillId="31" borderId="20" xfId="2" applyFill="1" applyBorder="1"/>
    <xf numFmtId="0" fontId="44" fillId="31" borderId="32" xfId="2" applyFill="1" applyBorder="1"/>
    <xf numFmtId="0" fontId="54" fillId="0" borderId="0" xfId="2" applyFont="1" applyAlignment="1">
      <alignment horizontal="center"/>
    </xf>
    <xf numFmtId="168" fontId="47" fillId="0" borderId="11" xfId="2" applyNumberFormat="1" applyFont="1" applyBorder="1" applyAlignment="1">
      <alignment horizontal="center"/>
    </xf>
    <xf numFmtId="168" fontId="47" fillId="0" borderId="14" xfId="2" applyNumberFormat="1" applyFont="1" applyBorder="1" applyAlignment="1">
      <alignment horizontal="center"/>
    </xf>
    <xf numFmtId="0" fontId="48" fillId="0" borderId="13" xfId="2" applyFont="1" applyBorder="1" applyAlignment="1">
      <alignment horizontal="center"/>
    </xf>
    <xf numFmtId="168" fontId="44" fillId="0" borderId="12" xfId="2" applyNumberFormat="1" applyBorder="1" applyAlignment="1">
      <alignment horizontal="center"/>
    </xf>
    <xf numFmtId="168" fontId="44" fillId="0" borderId="2" xfId="2" applyNumberFormat="1" applyBorder="1" applyAlignment="1">
      <alignment horizontal="center"/>
    </xf>
    <xf numFmtId="0" fontId="6" fillId="0" borderId="13" xfId="2" applyFont="1" applyBorder="1" applyAlignment="1">
      <alignment horizontal="center"/>
    </xf>
    <xf numFmtId="171" fontId="49" fillId="8" borderId="9" xfId="2" applyNumberFormat="1" applyFont="1" applyFill="1" applyBorder="1" applyAlignment="1" applyProtection="1">
      <alignment horizontal="center"/>
      <protection locked="0"/>
    </xf>
    <xf numFmtId="171" fontId="50" fillId="0" borderId="14" xfId="2" applyNumberFormat="1" applyFont="1" applyBorder="1" applyAlignment="1">
      <alignment horizontal="center"/>
    </xf>
    <xf numFmtId="171" fontId="50" fillId="0" borderId="13" xfId="2" applyNumberFormat="1" applyFont="1" applyBorder="1" applyAlignment="1">
      <alignment horizontal="center"/>
    </xf>
    <xf numFmtId="171" fontId="44" fillId="0" borderId="13" xfId="2" applyNumberFormat="1" applyBorder="1" applyAlignment="1">
      <alignment horizontal="center"/>
    </xf>
    <xf numFmtId="171" fontId="44" fillId="0" borderId="10" xfId="2" applyNumberFormat="1" applyBorder="1" applyAlignment="1">
      <alignment horizontal="center"/>
    </xf>
    <xf numFmtId="171" fontId="44" fillId="0" borderId="14" xfId="2" applyNumberFormat="1" applyBorder="1" applyAlignment="1">
      <alignment horizontal="center"/>
    </xf>
    <xf numFmtId="171" fontId="44" fillId="0" borderId="18" xfId="2" applyNumberFormat="1" applyBorder="1" applyAlignment="1">
      <alignment horizontal="center"/>
    </xf>
    <xf numFmtId="168" fontId="44" fillId="31" borderId="10" xfId="2" applyNumberFormat="1" applyFill="1" applyBorder="1"/>
    <xf numFmtId="168" fontId="44" fillId="31" borderId="27" xfId="2" applyNumberFormat="1" applyFill="1" applyBorder="1"/>
    <xf numFmtId="0" fontId="6" fillId="0" borderId="14" xfId="2" applyFont="1" applyBorder="1" applyAlignment="1">
      <alignment horizontal="center"/>
    </xf>
    <xf numFmtId="171" fontId="50" fillId="0" borderId="15" xfId="2" applyNumberFormat="1" applyFont="1" applyBorder="1" applyAlignment="1">
      <alignment horizontal="center"/>
    </xf>
    <xf numFmtId="171" fontId="44" fillId="0" borderId="11" xfId="2" applyNumberFormat="1" applyBorder="1" applyAlignment="1">
      <alignment horizontal="center"/>
    </xf>
    <xf numFmtId="171" fontId="44" fillId="0" borderId="15" xfId="2" applyNumberFormat="1" applyBorder="1" applyAlignment="1">
      <alignment horizontal="center"/>
    </xf>
    <xf numFmtId="0" fontId="44" fillId="0" borderId="0" xfId="2" applyProtection="1">
      <protection hidden="1"/>
    </xf>
    <xf numFmtId="0" fontId="44" fillId="31" borderId="20" xfId="2" applyFill="1" applyBorder="1" applyAlignment="1">
      <alignment horizontal="center"/>
    </xf>
    <xf numFmtId="171" fontId="50" fillId="34" borderId="9" xfId="2" applyNumberFormat="1" applyFont="1" applyFill="1" applyBorder="1" applyAlignment="1">
      <alignment horizontal="center"/>
    </xf>
    <xf numFmtId="171" fontId="55" fillId="0" borderId="14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171" fontId="44" fillId="0" borderId="2" xfId="2" applyNumberFormat="1" applyBorder="1" applyAlignment="1">
      <alignment horizontal="center"/>
    </xf>
    <xf numFmtId="171" fontId="44" fillId="0" borderId="0" xfId="2" applyNumberFormat="1" applyAlignment="1">
      <alignment horizontal="center"/>
    </xf>
    <xf numFmtId="0" fontId="47" fillId="0" borderId="9" xfId="2" applyFont="1" applyBorder="1" applyAlignment="1">
      <alignment horizontal="center"/>
    </xf>
    <xf numFmtId="0" fontId="30" fillId="0" borderId="13" xfId="2" applyFont="1" applyBorder="1" applyAlignment="1">
      <alignment horizontal="center"/>
    </xf>
    <xf numFmtId="0" fontId="30" fillId="0" borderId="15" xfId="2" applyFont="1" applyBorder="1" applyAlignment="1">
      <alignment horizontal="center"/>
    </xf>
    <xf numFmtId="0" fontId="30" fillId="0" borderId="14" xfId="2" applyFont="1" applyBorder="1" applyAlignment="1">
      <alignment horizontal="center"/>
    </xf>
    <xf numFmtId="0" fontId="48" fillId="0" borderId="2" xfId="2" applyFont="1" applyBorder="1" applyAlignment="1">
      <alignment horizontal="center"/>
    </xf>
    <xf numFmtId="0" fontId="30" fillId="0" borderId="2" xfId="2" applyFont="1" applyBorder="1" applyAlignment="1">
      <alignment horizontal="center"/>
    </xf>
    <xf numFmtId="0" fontId="30" fillId="0" borderId="12" xfId="2" applyFont="1" applyBorder="1" applyAlignment="1">
      <alignment horizontal="center"/>
    </xf>
    <xf numFmtId="171" fontId="4" fillId="0" borderId="11" xfId="2" applyNumberFormat="1" applyFont="1" applyBorder="1" applyAlignment="1">
      <alignment horizontal="center"/>
    </xf>
    <xf numFmtId="171" fontId="4" fillId="0" borderId="2" xfId="2" applyNumberFormat="1" applyFont="1" applyBorder="1" applyAlignment="1">
      <alignment horizontal="center"/>
    </xf>
    <xf numFmtId="0" fontId="6" fillId="0" borderId="0" xfId="2" applyFont="1"/>
    <xf numFmtId="0" fontId="26" fillId="0" borderId="0" xfId="2" applyFont="1"/>
    <xf numFmtId="0" fontId="57" fillId="0" borderId="0" xfId="2" applyFont="1"/>
    <xf numFmtId="166" fontId="6" fillId="0" borderId="9" xfId="2" applyNumberFormat="1" applyFont="1" applyBorder="1" applyAlignment="1">
      <alignment horizontal="center"/>
    </xf>
    <xf numFmtId="2" fontId="6" fillId="0" borderId="0" xfId="2" applyNumberFormat="1" applyFont="1" applyAlignment="1">
      <alignment horizontal="right"/>
    </xf>
    <xf numFmtId="171" fontId="6" fillId="0" borderId="9" xfId="2" applyNumberFormat="1" applyFont="1" applyBorder="1"/>
    <xf numFmtId="0" fontId="44" fillId="33" borderId="0" xfId="2" applyFill="1"/>
    <xf numFmtId="0" fontId="26" fillId="0" borderId="0" xfId="2" applyFont="1" applyAlignment="1">
      <alignment horizontal="center" vertical="center"/>
    </xf>
    <xf numFmtId="0" fontId="6" fillId="0" borderId="0" xfId="2" applyFont="1" applyAlignment="1">
      <alignment horizontal="right"/>
    </xf>
    <xf numFmtId="0" fontId="58" fillId="0" borderId="0" xfId="2" applyFont="1" applyAlignment="1">
      <alignment horizontal="left"/>
    </xf>
    <xf numFmtId="168" fontId="6" fillId="0" borderId="9" xfId="2" applyNumberFormat="1" applyFont="1" applyBorder="1" applyAlignment="1">
      <alignment horizontal="center"/>
    </xf>
    <xf numFmtId="0" fontId="60" fillId="35" borderId="10" xfId="3" applyFont="1" applyBorder="1"/>
    <xf numFmtId="0" fontId="61" fillId="35" borderId="27" xfId="3" applyFont="1" applyBorder="1" applyAlignment="1">
      <alignment horizontal="left"/>
    </xf>
    <xf numFmtId="0" fontId="62" fillId="35" borderId="27" xfId="3" applyFont="1" applyBorder="1" applyAlignment="1">
      <alignment horizontal="left"/>
    </xf>
    <xf numFmtId="0" fontId="60" fillId="35" borderId="27" xfId="3" applyFont="1" applyBorder="1" applyAlignment="1">
      <alignment horizontal="centerContinuous"/>
    </xf>
    <xf numFmtId="0" fontId="63" fillId="2" borderId="27" xfId="3" applyFont="1" applyFill="1" applyBorder="1" applyAlignment="1">
      <alignment horizontal="centerContinuous"/>
    </xf>
    <xf numFmtId="0" fontId="60" fillId="35" borderId="27" xfId="3" applyFont="1" applyBorder="1" applyAlignment="1">
      <alignment horizontal="center" vertical="center"/>
    </xf>
    <xf numFmtId="0" fontId="44" fillId="0" borderId="27" xfId="2" applyBorder="1"/>
    <xf numFmtId="0" fontId="44" fillId="0" borderId="18" xfId="2" applyBorder="1"/>
    <xf numFmtId="0" fontId="60" fillId="2" borderId="11" xfId="3" applyFont="1" applyFill="1" applyBorder="1" applyAlignment="1">
      <alignment horizontal="centerContinuous"/>
    </xf>
    <xf numFmtId="0" fontId="60" fillId="35" borderId="0" xfId="3" applyFont="1" applyAlignment="1">
      <alignment horizontal="centerContinuous"/>
    </xf>
    <xf numFmtId="0" fontId="64" fillId="35" borderId="0" xfId="3" applyFont="1" applyAlignment="1">
      <alignment horizontal="centerContinuous"/>
    </xf>
    <xf numFmtId="0" fontId="44" fillId="0" borderId="15" xfId="2" applyBorder="1"/>
    <xf numFmtId="0" fontId="60" fillId="35" borderId="11" xfId="3" applyFont="1" applyBorder="1"/>
    <xf numFmtId="0" fontId="60" fillId="2" borderId="38" xfId="3" applyFont="1" applyFill="1" applyBorder="1" applyAlignment="1">
      <alignment horizontal="centerContinuous" vertical="center"/>
    </xf>
    <xf numFmtId="0" fontId="60" fillId="35" borderId="38" xfId="3" applyFont="1" applyBorder="1" applyAlignment="1">
      <alignment horizontal="centerContinuous"/>
    </xf>
    <xf numFmtId="0" fontId="60" fillId="2" borderId="38" xfId="3" applyFont="1" applyFill="1" applyBorder="1" applyAlignment="1">
      <alignment vertical="center"/>
    </xf>
    <xf numFmtId="0" fontId="65" fillId="2" borderId="38" xfId="3" applyFont="1" applyFill="1" applyBorder="1" applyAlignment="1">
      <alignment vertical="center"/>
    </xf>
    <xf numFmtId="0" fontId="60" fillId="2" borderId="38" xfId="3" applyFont="1" applyFill="1" applyBorder="1" applyAlignment="1">
      <alignment horizontal="left" vertical="center"/>
    </xf>
    <xf numFmtId="0" fontId="60" fillId="35" borderId="0" xfId="3" applyFont="1"/>
    <xf numFmtId="0" fontId="64" fillId="2" borderId="0" xfId="3" applyFont="1" applyFill="1" applyAlignment="1">
      <alignment horizontal="centerContinuous" vertical="center"/>
    </xf>
    <xf numFmtId="0" fontId="64" fillId="2" borderId="39" xfId="3" applyFont="1" applyFill="1" applyBorder="1" applyAlignment="1">
      <alignment horizontal="center" vertical="center"/>
    </xf>
    <xf numFmtId="0" fontId="67" fillId="0" borderId="0" xfId="2" applyFont="1"/>
    <xf numFmtId="0" fontId="64" fillId="35" borderId="0" xfId="3" applyFont="1" applyAlignment="1">
      <alignment horizontal="right"/>
    </xf>
    <xf numFmtId="0" fontId="64" fillId="2" borderId="0" xfId="3" applyFont="1" applyFill="1" applyAlignment="1">
      <alignment horizontal="left" vertical="center"/>
    </xf>
    <xf numFmtId="0" fontId="64" fillId="2" borderId="0" xfId="3" applyFont="1" applyFill="1" applyAlignment="1">
      <alignment vertical="center"/>
    </xf>
    <xf numFmtId="0" fontId="64" fillId="35" borderId="0" xfId="3" applyFont="1"/>
    <xf numFmtId="14" fontId="64" fillId="2" borderId="0" xfId="3" applyNumberFormat="1" applyFont="1" applyFill="1" applyAlignment="1">
      <alignment horizontal="center" vertical="center"/>
    </xf>
    <xf numFmtId="0" fontId="64" fillId="35" borderId="41" xfId="3" applyFont="1" applyBorder="1" applyAlignment="1">
      <alignment horizontal="centerContinuous"/>
    </xf>
    <xf numFmtId="0" fontId="64" fillId="35" borderId="42" xfId="3" applyFont="1" applyBorder="1" applyAlignment="1">
      <alignment horizontal="centerContinuous"/>
    </xf>
    <xf numFmtId="0" fontId="64" fillId="35" borderId="42" xfId="3" applyFont="1" applyBorder="1" applyAlignment="1">
      <alignment horizontal="center"/>
    </xf>
    <xf numFmtId="0" fontId="64" fillId="35" borderId="42" xfId="3" applyFont="1" applyBorder="1"/>
    <xf numFmtId="0" fontId="64" fillId="35" borderId="43" xfId="3" applyFont="1" applyBorder="1" applyAlignment="1">
      <alignment horizontal="centerContinuous"/>
    </xf>
    <xf numFmtId="0" fontId="64" fillId="35" borderId="44" xfId="3" applyFont="1" applyBorder="1" applyAlignment="1">
      <alignment horizontal="centerContinuous"/>
    </xf>
    <xf numFmtId="0" fontId="64" fillId="35" borderId="45" xfId="3" applyFont="1" applyBorder="1"/>
    <xf numFmtId="0" fontId="69" fillId="8" borderId="47" xfId="3" applyFont="1" applyFill="1" applyBorder="1" applyAlignment="1" applyProtection="1">
      <alignment horizontal="center"/>
      <protection locked="0"/>
    </xf>
    <xf numFmtId="173" fontId="64" fillId="35" borderId="47" xfId="3" applyNumberFormat="1" applyFont="1" applyBorder="1" applyAlignment="1">
      <alignment horizontal="center"/>
    </xf>
    <xf numFmtId="0" fontId="64" fillId="35" borderId="8" xfId="3" applyFont="1" applyBorder="1" applyAlignment="1">
      <alignment horizontal="left"/>
    </xf>
    <xf numFmtId="0" fontId="64" fillId="8" borderId="48" xfId="3" applyFont="1" applyFill="1" applyBorder="1" applyProtection="1">
      <protection locked="0"/>
    </xf>
    <xf numFmtId="0" fontId="64" fillId="8" borderId="49" xfId="3" applyFont="1" applyFill="1" applyBorder="1" applyProtection="1">
      <protection locked="0"/>
    </xf>
    <xf numFmtId="0" fontId="69" fillId="35" borderId="51" xfId="3" applyFont="1" applyBorder="1" applyAlignment="1" applyProtection="1">
      <alignment horizontal="center"/>
      <protection locked="0"/>
    </xf>
    <xf numFmtId="173" fontId="64" fillId="35" borderId="52" xfId="3" applyNumberFormat="1" applyFont="1" applyBorder="1" applyAlignment="1">
      <alignment horizontal="center"/>
    </xf>
    <xf numFmtId="0" fontId="64" fillId="35" borderId="52" xfId="3" applyFont="1" applyBorder="1" applyAlignment="1">
      <alignment horizontal="left"/>
    </xf>
    <xf numFmtId="0" fontId="64" fillId="35" borderId="53" xfId="3" applyFont="1" applyBorder="1"/>
    <xf numFmtId="0" fontId="64" fillId="35" borderId="54" xfId="3" applyFont="1" applyBorder="1"/>
    <xf numFmtId="0" fontId="69" fillId="35" borderId="0" xfId="3" applyFont="1" applyAlignment="1" applyProtection="1">
      <alignment horizontal="centerContinuous"/>
      <protection locked="0"/>
    </xf>
    <xf numFmtId="0" fontId="69" fillId="35" borderId="0" xfId="3" applyFont="1" applyAlignment="1" applyProtection="1">
      <alignment horizontal="center"/>
      <protection locked="0"/>
    </xf>
    <xf numFmtId="173" fontId="64" fillId="35" borderId="0" xfId="3" applyNumberFormat="1" applyFont="1" applyAlignment="1">
      <alignment horizontal="center"/>
    </xf>
    <xf numFmtId="0" fontId="64" fillId="35" borderId="0" xfId="3" applyFont="1" applyAlignment="1">
      <alignment horizontal="left"/>
    </xf>
    <xf numFmtId="0" fontId="64" fillId="35" borderId="55" xfId="3" applyFont="1" applyBorder="1" applyAlignment="1">
      <alignment horizontal="centerContinuous"/>
    </xf>
    <xf numFmtId="0" fontId="64" fillId="35" borderId="21" xfId="3" applyFont="1" applyBorder="1" applyAlignment="1">
      <alignment horizontal="centerContinuous"/>
    </xf>
    <xf numFmtId="0" fontId="64" fillId="35" borderId="56" xfId="3" applyFont="1" applyBorder="1" applyAlignment="1">
      <alignment horizontal="centerContinuous"/>
    </xf>
    <xf numFmtId="0" fontId="64" fillId="35" borderId="57" xfId="3" applyFont="1" applyBorder="1" applyAlignment="1">
      <alignment horizontal="centerContinuous"/>
    </xf>
    <xf numFmtId="0" fontId="64" fillId="35" borderId="38" xfId="3" applyFont="1" applyBorder="1" applyAlignment="1">
      <alignment horizontal="centerContinuous"/>
    </xf>
    <xf numFmtId="0" fontId="64" fillId="35" borderId="38" xfId="3" applyFont="1" applyBorder="1" applyAlignment="1">
      <alignment horizontal="center"/>
    </xf>
    <xf numFmtId="0" fontId="70" fillId="35" borderId="38" xfId="3" applyFont="1" applyBorder="1" applyAlignment="1">
      <alignment horizontal="center"/>
    </xf>
    <xf numFmtId="0" fontId="70" fillId="35" borderId="58" xfId="3" applyFont="1" applyBorder="1" applyAlignment="1">
      <alignment horizontal="center"/>
    </xf>
    <xf numFmtId="0" fontId="64" fillId="35" borderId="29" xfId="3" applyFont="1" applyBorder="1" applyAlignment="1">
      <alignment horizontal="centerContinuous"/>
    </xf>
    <xf numFmtId="0" fontId="64" fillId="35" borderId="47" xfId="3" applyFont="1" applyBorder="1" applyAlignment="1">
      <alignment horizontal="centerContinuous"/>
    </xf>
    <xf numFmtId="0" fontId="64" fillId="35" borderId="8" xfId="3" applyFont="1" applyBorder="1" applyAlignment="1">
      <alignment horizontal="center"/>
    </xf>
    <xf numFmtId="171" fontId="64" fillId="35" borderId="8" xfId="3" applyNumberFormat="1" applyFont="1" applyBorder="1" applyAlignment="1">
      <alignment horizontal="center"/>
    </xf>
    <xf numFmtId="0" fontId="64" fillId="35" borderId="59" xfId="3" applyFont="1" applyBorder="1" applyAlignment="1">
      <alignment horizontal="centerContinuous"/>
    </xf>
    <xf numFmtId="0" fontId="64" fillId="35" borderId="60" xfId="3" applyFont="1" applyBorder="1" applyAlignment="1">
      <alignment horizontal="centerContinuous"/>
    </xf>
    <xf numFmtId="0" fontId="64" fillId="35" borderId="61" xfId="3" applyFont="1" applyBorder="1" applyAlignment="1">
      <alignment horizontal="center"/>
    </xf>
    <xf numFmtId="0" fontId="64" fillId="35" borderId="0" xfId="3" applyFont="1" applyAlignment="1">
      <alignment horizontal="center"/>
    </xf>
    <xf numFmtId="1" fontId="64" fillId="35" borderId="62" xfId="3" applyNumberFormat="1" applyFont="1" applyBorder="1" applyAlignment="1">
      <alignment horizontal="center"/>
    </xf>
    <xf numFmtId="171" fontId="64" fillId="35" borderId="62" xfId="3" applyNumberFormat="1" applyFont="1" applyBorder="1" applyAlignment="1">
      <alignment horizontal="center"/>
    </xf>
    <xf numFmtId="1" fontId="64" fillId="35" borderId="61" xfId="3" applyNumberFormat="1" applyFont="1" applyBorder="1" applyAlignment="1">
      <alignment horizontal="center"/>
    </xf>
    <xf numFmtId="171" fontId="64" fillId="35" borderId="61" xfId="3" applyNumberFormat="1" applyFont="1" applyBorder="1" applyAlignment="1">
      <alignment horizontal="center"/>
    </xf>
    <xf numFmtId="0" fontId="67" fillId="8" borderId="9" xfId="2" applyFont="1" applyFill="1" applyBorder="1" applyProtection="1">
      <protection locked="0"/>
    </xf>
    <xf numFmtId="0" fontId="64" fillId="2" borderId="0" xfId="3" applyFont="1" applyFill="1" applyAlignment="1">
      <alignment horizontal="center"/>
    </xf>
    <xf numFmtId="0" fontId="64" fillId="8" borderId="9" xfId="3" applyFont="1" applyFill="1" applyBorder="1" applyProtection="1">
      <protection locked="0"/>
    </xf>
    <xf numFmtId="0" fontId="44" fillId="0" borderId="11" xfId="2" applyBorder="1"/>
    <xf numFmtId="0" fontId="44" fillId="0" borderId="12" xfId="2" applyBorder="1"/>
    <xf numFmtId="0" fontId="44" fillId="0" borderId="32" xfId="2" applyBorder="1"/>
    <xf numFmtId="0" fontId="71" fillId="0" borderId="0" xfId="2" applyFont="1"/>
    <xf numFmtId="0" fontId="30" fillId="0" borderId="0" xfId="2" applyFont="1"/>
    <xf numFmtId="0" fontId="72" fillId="0" borderId="0" xfId="2" applyFont="1"/>
    <xf numFmtId="0" fontId="30" fillId="0" borderId="55" xfId="2" applyFont="1" applyBorder="1"/>
    <xf numFmtId="0" fontId="30" fillId="0" borderId="56" xfId="2" applyFont="1" applyBorder="1"/>
    <xf numFmtId="0" fontId="30" fillId="0" borderId="29" xfId="2" applyFont="1" applyBorder="1"/>
    <xf numFmtId="0" fontId="30" fillId="0" borderId="47" xfId="2" applyFont="1" applyBorder="1"/>
    <xf numFmtId="0" fontId="30" fillId="0" borderId="47" xfId="2" applyFont="1" applyBorder="1" applyAlignment="1">
      <alignment horizontal="left"/>
    </xf>
    <xf numFmtId="0" fontId="73" fillId="0" borderId="0" xfId="2" applyFont="1"/>
    <xf numFmtId="0" fontId="30" fillId="0" borderId="59" xfId="2" applyFont="1" applyBorder="1"/>
    <xf numFmtId="14" fontId="30" fillId="0" borderId="60" xfId="2" applyNumberFormat="1" applyFont="1" applyBorder="1" applyAlignment="1">
      <alignment horizontal="left"/>
    </xf>
    <xf numFmtId="14" fontId="30" fillId="0" borderId="0" xfId="2" applyNumberFormat="1" applyFont="1" applyAlignment="1">
      <alignment horizontal="left"/>
    </xf>
    <xf numFmtId="0" fontId="47" fillId="0" borderId="0" xfId="2" applyFont="1"/>
    <xf numFmtId="0" fontId="30" fillId="0" borderId="21" xfId="2" applyFont="1" applyBorder="1" applyAlignment="1">
      <alignment horizontal="left"/>
    </xf>
    <xf numFmtId="0" fontId="30" fillId="0" borderId="21" xfId="2" applyFont="1" applyBorder="1" applyAlignment="1">
      <alignment horizontal="center"/>
    </xf>
    <xf numFmtId="0" fontId="30" fillId="0" borderId="63" xfId="2" applyFont="1" applyBorder="1" applyAlignment="1">
      <alignment horizontal="center"/>
    </xf>
    <xf numFmtId="0" fontId="30" fillId="0" borderId="18" xfId="2" applyFont="1" applyBorder="1"/>
    <xf numFmtId="0" fontId="30" fillId="0" borderId="0" xfId="2" applyFont="1" applyAlignment="1">
      <alignment horizontal="left"/>
    </xf>
    <xf numFmtId="0" fontId="30" fillId="0" borderId="0" xfId="2" applyFont="1" applyAlignment="1">
      <alignment horizontal="right"/>
    </xf>
    <xf numFmtId="0" fontId="30" fillId="0" borderId="0" xfId="2" applyFont="1" applyAlignment="1">
      <alignment horizontal="center"/>
    </xf>
    <xf numFmtId="2" fontId="30" fillId="0" borderId="0" xfId="2" applyNumberFormat="1" applyFont="1" applyAlignment="1">
      <alignment horizontal="center"/>
    </xf>
    <xf numFmtId="0" fontId="30" fillId="0" borderId="15" xfId="2" applyFont="1" applyBorder="1"/>
    <xf numFmtId="171" fontId="30" fillId="0" borderId="0" xfId="2" applyNumberFormat="1" applyFont="1"/>
    <xf numFmtId="172" fontId="30" fillId="0" borderId="15" xfId="2" applyNumberFormat="1" applyFont="1" applyBorder="1"/>
    <xf numFmtId="2" fontId="30" fillId="0" borderId="15" xfId="2" applyNumberFormat="1" applyFont="1" applyBorder="1" applyAlignment="1">
      <alignment horizontal="center"/>
    </xf>
    <xf numFmtId="171" fontId="30" fillId="0" borderId="0" xfId="2" applyNumberFormat="1" applyFont="1" applyAlignment="1">
      <alignment horizontal="center"/>
    </xf>
    <xf numFmtId="171" fontId="30" fillId="0" borderId="16" xfId="2" applyNumberFormat="1" applyFont="1" applyBorder="1" applyAlignment="1">
      <alignment horizontal="center"/>
    </xf>
    <xf numFmtId="0" fontId="30" fillId="0" borderId="16" xfId="2" applyFont="1" applyBorder="1"/>
    <xf numFmtId="0" fontId="30" fillId="0" borderId="64" xfId="2" applyFont="1" applyBorder="1"/>
    <xf numFmtId="0" fontId="30" fillId="0" borderId="32" xfId="2" applyFont="1" applyBorder="1"/>
    <xf numFmtId="0" fontId="71" fillId="0" borderId="55" xfId="2" applyFont="1" applyBorder="1" applyAlignment="1">
      <alignment horizontal="center"/>
    </xf>
    <xf numFmtId="0" fontId="30" fillId="0" borderId="56" xfId="2" applyFont="1" applyBorder="1" applyAlignment="1">
      <alignment horizontal="center"/>
    </xf>
    <xf numFmtId="0" fontId="30" fillId="0" borderId="29" xfId="2" applyFont="1" applyBorder="1" applyAlignment="1">
      <alignment horizontal="center"/>
    </xf>
    <xf numFmtId="0" fontId="30" fillId="0" borderId="47" xfId="2" applyFont="1" applyBorder="1" applyAlignment="1">
      <alignment horizontal="center"/>
    </xf>
    <xf numFmtId="0" fontId="30" fillId="0" borderId="59" xfId="2" applyFont="1" applyBorder="1" applyAlignment="1">
      <alignment horizontal="center"/>
    </xf>
    <xf numFmtId="0" fontId="30" fillId="0" borderId="20" xfId="2" applyFont="1" applyBorder="1" applyAlignment="1">
      <alignment horizontal="center"/>
    </xf>
    <xf numFmtId="0" fontId="30" fillId="0" borderId="16" xfId="2" applyFont="1" applyBorder="1" applyAlignment="1">
      <alignment horizontal="center"/>
    </xf>
    <xf numFmtId="2" fontId="30" fillId="0" borderId="60" xfId="2" applyNumberFormat="1" applyFont="1" applyBorder="1" applyAlignment="1">
      <alignment horizontal="center"/>
    </xf>
    <xf numFmtId="172" fontId="30" fillId="0" borderId="0" xfId="2" applyNumberFormat="1" applyFont="1" applyAlignment="1">
      <alignment horizontal="center"/>
    </xf>
    <xf numFmtId="1" fontId="30" fillId="0" borderId="0" xfId="2" applyNumberFormat="1" applyFont="1" applyAlignment="1">
      <alignment horizontal="center"/>
    </xf>
    <xf numFmtId="171" fontId="30" fillId="0" borderId="47" xfId="2" applyNumberFormat="1" applyFont="1" applyBorder="1" applyAlignment="1">
      <alignment horizontal="center"/>
    </xf>
    <xf numFmtId="174" fontId="30" fillId="0" borderId="0" xfId="2" applyNumberFormat="1" applyFont="1" applyAlignment="1">
      <alignment horizontal="center"/>
    </xf>
    <xf numFmtId="171" fontId="30" fillId="0" borderId="15" xfId="2" applyNumberFormat="1" applyFont="1" applyBorder="1" applyAlignment="1">
      <alignment horizontal="center"/>
    </xf>
    <xf numFmtId="171" fontId="30" fillId="0" borderId="29" xfId="2" applyNumberFormat="1" applyFont="1" applyBorder="1"/>
    <xf numFmtId="172" fontId="30" fillId="0" borderId="20" xfId="2" applyNumberFormat="1" applyFont="1" applyBorder="1" applyAlignment="1">
      <alignment horizontal="center"/>
    </xf>
    <xf numFmtId="2" fontId="30" fillId="0" borderId="16" xfId="2" applyNumberFormat="1" applyFont="1" applyBorder="1" applyAlignment="1">
      <alignment horizontal="center"/>
    </xf>
    <xf numFmtId="1" fontId="30" fillId="0" borderId="16" xfId="2" applyNumberFormat="1" applyFont="1" applyBorder="1" applyAlignment="1">
      <alignment horizontal="center"/>
    </xf>
    <xf numFmtId="171" fontId="30" fillId="0" borderId="60" xfId="2" applyNumberFormat="1" applyFont="1" applyBorder="1" applyAlignment="1">
      <alignment horizontal="center"/>
    </xf>
    <xf numFmtId="0" fontId="74" fillId="0" borderId="0" xfId="2" applyFont="1" applyAlignment="1">
      <alignment horizontal="right"/>
    </xf>
    <xf numFmtId="171" fontId="71" fillId="0" borderId="0" xfId="2" applyNumberFormat="1" applyFont="1" applyAlignment="1">
      <alignment horizontal="center"/>
    </xf>
    <xf numFmtId="1" fontId="71" fillId="0" borderId="0" xfId="2" applyNumberFormat="1" applyFont="1" applyAlignment="1">
      <alignment horizontal="center"/>
    </xf>
    <xf numFmtId="171" fontId="47" fillId="0" borderId="0" xfId="2" applyNumberFormat="1" applyFont="1" applyAlignment="1">
      <alignment horizontal="center"/>
    </xf>
    <xf numFmtId="174" fontId="71" fillId="0" borderId="0" xfId="2" applyNumberFormat="1" applyFont="1" applyAlignment="1">
      <alignment horizontal="center"/>
    </xf>
    <xf numFmtId="0" fontId="30" fillId="0" borderId="21" xfId="2" applyFont="1" applyBorder="1"/>
    <xf numFmtId="0" fontId="30" fillId="0" borderId="16" xfId="2" applyFont="1" applyBorder="1" applyAlignment="1">
      <alignment horizontal="left"/>
    </xf>
    <xf numFmtId="171" fontId="30" fillId="0" borderId="12" xfId="2" applyNumberFormat="1" applyFont="1" applyBorder="1"/>
    <xf numFmtId="2" fontId="30" fillId="0" borderId="0" xfId="2" applyNumberFormat="1" applyFont="1"/>
    <xf numFmtId="165" fontId="25" fillId="0" borderId="17" xfId="0" applyFont="1" applyBorder="1" applyAlignment="1" applyProtection="1"/>
    <xf numFmtId="165" fontId="28" fillId="0" borderId="17" xfId="0" applyFont="1" applyBorder="1" applyAlignment="1"/>
    <xf numFmtId="165" fontId="25" fillId="0" borderId="16" xfId="0" applyFont="1" applyBorder="1" applyAlignment="1" applyProtection="1"/>
    <xf numFmtId="165" fontId="28" fillId="0" borderId="16" xfId="0" applyFont="1" applyBorder="1" applyAlignment="1"/>
    <xf numFmtId="0" fontId="64" fillId="0" borderId="8" xfId="3" applyFont="1" applyFill="1" applyBorder="1" applyAlignment="1">
      <alignment horizontal="center"/>
    </xf>
    <xf numFmtId="171" fontId="64" fillId="0" borderId="8" xfId="3" applyNumberFormat="1" applyFont="1" applyFill="1" applyBorder="1" applyAlignment="1">
      <alignment horizontal="center"/>
    </xf>
    <xf numFmtId="172" fontId="47" fillId="0" borderId="0" xfId="2" applyNumberFormat="1" applyFont="1" applyAlignment="1">
      <alignment horizontal="center"/>
    </xf>
    <xf numFmtId="0" fontId="30" fillId="0" borderId="14" xfId="2" applyFont="1" applyBorder="1"/>
    <xf numFmtId="2" fontId="30" fillId="0" borderId="21" xfId="2" applyNumberFormat="1" applyFont="1" applyBorder="1" applyAlignment="1">
      <alignment horizontal="center"/>
    </xf>
    <xf numFmtId="171" fontId="44" fillId="9" borderId="14" xfId="2" applyNumberFormat="1" applyFill="1" applyBorder="1" applyAlignment="1">
      <alignment horizontal="center"/>
    </xf>
    <xf numFmtId="0" fontId="6" fillId="28" borderId="14" xfId="2" applyFont="1" applyFill="1" applyBorder="1" applyAlignment="1">
      <alignment horizontal="center"/>
    </xf>
    <xf numFmtId="171" fontId="50" fillId="28" borderId="14" xfId="2" applyNumberFormat="1" applyFont="1" applyFill="1" applyBorder="1" applyAlignment="1">
      <alignment horizontal="center"/>
    </xf>
    <xf numFmtId="171" fontId="50" fillId="28" borderId="15" xfId="2" applyNumberFormat="1" applyFont="1" applyFill="1" applyBorder="1" applyAlignment="1">
      <alignment horizontal="center"/>
    </xf>
    <xf numFmtId="171" fontId="56" fillId="28" borderId="14" xfId="2" applyNumberFormat="1" applyFont="1" applyFill="1" applyBorder="1" applyAlignment="1">
      <alignment horizontal="center"/>
    </xf>
    <xf numFmtId="171" fontId="55" fillId="28" borderId="14" xfId="2" applyNumberFormat="1" applyFont="1" applyFill="1" applyBorder="1" applyAlignment="1">
      <alignment horizontal="center"/>
    </xf>
    <xf numFmtId="171" fontId="44" fillId="28" borderId="14" xfId="2" applyNumberFormat="1" applyFill="1" applyBorder="1" applyAlignment="1">
      <alignment horizontal="center"/>
    </xf>
    <xf numFmtId="171" fontId="44" fillId="28" borderId="15" xfId="2" applyNumberFormat="1" applyFill="1" applyBorder="1" applyAlignment="1">
      <alignment horizontal="center"/>
    </xf>
    <xf numFmtId="0" fontId="6" fillId="28" borderId="2" xfId="2" applyFont="1" applyFill="1" applyBorder="1" applyAlignment="1">
      <alignment horizontal="center"/>
    </xf>
    <xf numFmtId="171" fontId="50" fillId="28" borderId="2" xfId="2" applyNumberFormat="1" applyFont="1" applyFill="1" applyBorder="1" applyAlignment="1">
      <alignment horizontal="center"/>
    </xf>
    <xf numFmtId="171" fontId="50" fillId="28" borderId="32" xfId="2" applyNumberFormat="1" applyFont="1" applyFill="1" applyBorder="1" applyAlignment="1">
      <alignment horizontal="center"/>
    </xf>
    <xf numFmtId="171" fontId="56" fillId="28" borderId="2" xfId="2" applyNumberFormat="1" applyFont="1" applyFill="1" applyBorder="1" applyAlignment="1">
      <alignment horizontal="center"/>
    </xf>
    <xf numFmtId="171" fontId="55" fillId="28" borderId="2" xfId="2" applyNumberFormat="1" applyFont="1" applyFill="1" applyBorder="1" applyAlignment="1">
      <alignment horizontal="center"/>
    </xf>
    <xf numFmtId="171" fontId="44" fillId="28" borderId="2" xfId="2" applyNumberFormat="1" applyFill="1" applyBorder="1" applyAlignment="1">
      <alignment horizontal="center"/>
    </xf>
    <xf numFmtId="0" fontId="45" fillId="28" borderId="0" xfId="2" applyFont="1" applyFill="1"/>
    <xf numFmtId="0" fontId="47" fillId="28" borderId="13" xfId="2" applyFont="1" applyFill="1" applyBorder="1" applyAlignment="1">
      <alignment horizontal="center"/>
    </xf>
    <xf numFmtId="0" fontId="47" fillId="28" borderId="14" xfId="2" applyFont="1" applyFill="1" applyBorder="1" applyAlignment="1">
      <alignment horizontal="center"/>
    </xf>
    <xf numFmtId="0" fontId="48" fillId="28" borderId="9" xfId="2" applyFont="1" applyFill="1" applyBorder="1" applyAlignment="1">
      <alignment horizontal="center"/>
    </xf>
    <xf numFmtId="0" fontId="47" fillId="28" borderId="2" xfId="2" applyFont="1" applyFill="1" applyBorder="1" applyAlignment="1">
      <alignment horizontal="center"/>
    </xf>
    <xf numFmtId="0" fontId="6" fillId="28" borderId="10" xfId="2" applyFont="1" applyFill="1" applyBorder="1" applyAlignment="1">
      <alignment horizontal="center"/>
    </xf>
    <xf numFmtId="171" fontId="49" fillId="28" borderId="14" xfId="2" applyNumberFormat="1" applyFont="1" applyFill="1" applyBorder="1" applyAlignment="1" applyProtection="1">
      <alignment horizontal="center"/>
      <protection locked="0"/>
    </xf>
    <xf numFmtId="171" fontId="50" fillId="28" borderId="14" xfId="2" applyNumberFormat="1" applyFont="1" applyFill="1" applyBorder="1" applyAlignment="1" applyProtection="1">
      <alignment horizontal="center"/>
      <protection locked="0"/>
    </xf>
    <xf numFmtId="0" fontId="6" fillId="28" borderId="12" xfId="2" applyFont="1" applyFill="1" applyBorder="1" applyAlignment="1">
      <alignment horizontal="center"/>
    </xf>
    <xf numFmtId="171" fontId="49" fillId="28" borderId="2" xfId="2" applyNumberFormat="1" applyFont="1" applyFill="1" applyBorder="1" applyAlignment="1" applyProtection="1">
      <alignment horizontal="center"/>
      <protection locked="0"/>
    </xf>
    <xf numFmtId="171" fontId="50" fillId="28" borderId="2" xfId="2" applyNumberFormat="1" applyFont="1" applyFill="1" applyBorder="1" applyAlignment="1" applyProtection="1">
      <alignment horizontal="center"/>
      <protection locked="0"/>
    </xf>
    <xf numFmtId="0" fontId="4" fillId="0" borderId="0" xfId="2" applyFont="1"/>
    <xf numFmtId="165" fontId="0" fillId="37" borderId="0" xfId="0" applyFill="1"/>
    <xf numFmtId="168" fontId="0" fillId="37" borderId="0" xfId="0" applyNumberFormat="1" applyFill="1"/>
    <xf numFmtId="165" fontId="0" fillId="38" borderId="0" xfId="0" applyFill="1"/>
    <xf numFmtId="165" fontId="0" fillId="38" borderId="0" xfId="0" applyFill="1" applyAlignment="1">
      <alignment horizontal="left"/>
    </xf>
    <xf numFmtId="165" fontId="0" fillId="39" borderId="0" xfId="0" applyFill="1"/>
    <xf numFmtId="168" fontId="0" fillId="39" borderId="0" xfId="0" applyNumberFormat="1" applyFill="1"/>
    <xf numFmtId="165" fontId="78" fillId="26" borderId="0" xfId="0" applyFont="1" applyFill="1"/>
    <xf numFmtId="165" fontId="78" fillId="27" borderId="0" xfId="0" applyFont="1" applyFill="1"/>
    <xf numFmtId="165" fontId="78" fillId="28" borderId="0" xfId="0" applyFont="1" applyFill="1"/>
    <xf numFmtId="165" fontId="38" fillId="28" borderId="0" xfId="0" applyFont="1" applyFill="1" applyAlignment="1">
      <alignment vertical="center"/>
    </xf>
    <xf numFmtId="165" fontId="39" fillId="28" borderId="0" xfId="0" applyFont="1" applyFill="1" applyAlignment="1">
      <alignment vertical="center"/>
    </xf>
    <xf numFmtId="165" fontId="78" fillId="0" borderId="0" xfId="0" applyFont="1"/>
    <xf numFmtId="165" fontId="38" fillId="0" borderId="0" xfId="0" applyFont="1" applyAlignment="1">
      <alignment vertical="center"/>
    </xf>
    <xf numFmtId="165" fontId="39" fillId="0" borderId="0" xfId="0" applyFont="1" applyAlignment="1">
      <alignment vertical="center"/>
    </xf>
    <xf numFmtId="165" fontId="79" fillId="29" borderId="0" xfId="0" applyFont="1" applyFill="1"/>
    <xf numFmtId="165" fontId="30" fillId="29" borderId="0" xfId="0" applyFont="1" applyFill="1" applyAlignment="1">
      <alignment vertical="center"/>
    </xf>
    <xf numFmtId="165" fontId="79" fillId="30" borderId="0" xfId="0" applyFont="1" applyFill="1"/>
    <xf numFmtId="165" fontId="38" fillId="30" borderId="0" xfId="0" applyFont="1" applyFill="1" applyAlignment="1">
      <alignment vertical="center"/>
    </xf>
    <xf numFmtId="165" fontId="39" fillId="30" borderId="0" xfId="0" applyFont="1" applyFill="1" applyAlignment="1">
      <alignment vertical="center"/>
    </xf>
    <xf numFmtId="165" fontId="79" fillId="0" borderId="0" xfId="0" applyFont="1"/>
    <xf numFmtId="165" fontId="78" fillId="9" borderId="0" xfId="0" applyFont="1" applyFill="1"/>
    <xf numFmtId="49" fontId="78" fillId="9" borderId="0" xfId="0" applyNumberFormat="1" applyFont="1" applyFill="1"/>
    <xf numFmtId="165" fontId="80" fillId="9" borderId="0" xfId="0" applyFont="1" applyFill="1" applyAlignment="1">
      <alignment vertical="center"/>
    </xf>
    <xf numFmtId="165" fontId="80" fillId="9" borderId="0" xfId="0" applyFont="1" applyFill="1"/>
    <xf numFmtId="0" fontId="36" fillId="16" borderId="28" xfId="0" applyNumberFormat="1" applyFont="1" applyFill="1" applyBorder="1" applyAlignment="1" applyProtection="1">
      <alignment horizontal="left"/>
    </xf>
    <xf numFmtId="2" fontId="36" fillId="16" borderId="28" xfId="0" applyNumberFormat="1" applyFont="1" applyFill="1" applyBorder="1" applyAlignment="1" applyProtection="1">
      <alignment horizontal="left"/>
    </xf>
    <xf numFmtId="0" fontId="36" fillId="17" borderId="28" xfId="0" applyNumberFormat="1" applyFont="1" applyFill="1" applyBorder="1" applyAlignment="1" applyProtection="1">
      <alignment horizontal="left"/>
    </xf>
    <xf numFmtId="2" fontId="36" fillId="18" borderId="28" xfId="0" applyNumberFormat="1" applyFont="1" applyFill="1" applyBorder="1" applyAlignment="1" applyProtection="1">
      <alignment horizontal="left"/>
    </xf>
    <xf numFmtId="2" fontId="36" fillId="20" borderId="28" xfId="0" applyNumberFormat="1" applyFont="1" applyFill="1" applyBorder="1" applyAlignment="1" applyProtection="1">
      <alignment horizontal="left"/>
    </xf>
    <xf numFmtId="49" fontId="36" fillId="15" borderId="30" xfId="0" applyNumberFormat="1" applyFont="1" applyFill="1" applyBorder="1" applyAlignment="1" applyProtection="1">
      <alignment horizontal="left"/>
      <protection locked="0"/>
    </xf>
    <xf numFmtId="2" fontId="36" fillId="15" borderId="30" xfId="0" applyNumberFormat="1" applyFont="1" applyFill="1" applyBorder="1" applyAlignment="1" applyProtection="1">
      <alignment horizontal="left"/>
      <protection locked="0"/>
    </xf>
    <xf numFmtId="49" fontId="36" fillId="17" borderId="30" xfId="0" applyNumberFormat="1" applyFont="1" applyFill="1" applyBorder="1" applyAlignment="1" applyProtection="1">
      <alignment horizontal="left"/>
      <protection locked="0"/>
    </xf>
    <xf numFmtId="1" fontId="36" fillId="17" borderId="30" xfId="0" applyNumberFormat="1" applyFont="1" applyFill="1" applyBorder="1" applyAlignment="1" applyProtection="1">
      <alignment horizontal="left"/>
      <protection locked="0"/>
    </xf>
    <xf numFmtId="2" fontId="36" fillId="17" borderId="30" xfId="0" applyNumberFormat="1" applyFont="1" applyFill="1" applyBorder="1" applyAlignment="1" applyProtection="1">
      <alignment horizontal="left"/>
      <protection locked="0"/>
    </xf>
    <xf numFmtId="49" fontId="36" fillId="19" borderId="30" xfId="0" applyNumberFormat="1" applyFont="1" applyFill="1" applyBorder="1" applyAlignment="1" applyProtection="1">
      <alignment horizontal="left"/>
      <protection locked="0"/>
    </xf>
    <xf numFmtId="1" fontId="36" fillId="19" borderId="30" xfId="0" applyNumberFormat="1" applyFont="1" applyFill="1" applyBorder="1" applyAlignment="1" applyProtection="1">
      <alignment horizontal="left"/>
      <protection locked="0"/>
    </xf>
    <xf numFmtId="2" fontId="36" fillId="19" borderId="30" xfId="0" applyNumberFormat="1" applyFont="1" applyFill="1" applyBorder="1" applyAlignment="1" applyProtection="1">
      <alignment horizontal="left"/>
      <protection locked="0"/>
    </xf>
    <xf numFmtId="49" fontId="36" fillId="21" borderId="30" xfId="0" applyNumberFormat="1" applyFont="1" applyFill="1" applyBorder="1" applyAlignment="1" applyProtection="1">
      <alignment horizontal="left"/>
      <protection locked="0"/>
    </xf>
    <xf numFmtId="2" fontId="36" fillId="21" borderId="30" xfId="0" applyNumberFormat="1" applyFont="1" applyFill="1" applyBorder="1" applyAlignment="1" applyProtection="1">
      <alignment horizontal="left"/>
      <protection locked="0"/>
    </xf>
    <xf numFmtId="49" fontId="36" fillId="11" borderId="30" xfId="0" applyNumberFormat="1" applyFont="1" applyFill="1" applyBorder="1" applyAlignment="1" applyProtection="1">
      <alignment horizontal="left"/>
      <protection locked="0"/>
    </xf>
    <xf numFmtId="2" fontId="36" fillId="11" borderId="30" xfId="0" applyNumberFormat="1" applyFont="1" applyFill="1" applyBorder="1" applyAlignment="1" applyProtection="1">
      <alignment horizontal="left"/>
      <protection locked="0"/>
    </xf>
    <xf numFmtId="49" fontId="36" fillId="24" borderId="30" xfId="0" applyNumberFormat="1" applyFont="1" applyFill="1" applyBorder="1" applyAlignment="1" applyProtection="1">
      <alignment horizontal="left"/>
      <protection locked="0"/>
    </xf>
    <xf numFmtId="2" fontId="36" fillId="24" borderId="33" xfId="0" applyNumberFormat="1" applyFont="1" applyFill="1" applyBorder="1" applyAlignment="1" applyProtection="1">
      <alignment horizontal="left"/>
      <protection locked="0"/>
    </xf>
    <xf numFmtId="165" fontId="36" fillId="0" borderId="0" xfId="0" applyFont="1" applyAlignment="1" applyProtection="1">
      <alignment horizontal="left"/>
      <protection locked="0"/>
    </xf>
    <xf numFmtId="165" fontId="36" fillId="15" borderId="30" xfId="0" applyFont="1" applyFill="1" applyBorder="1" applyAlignment="1" applyProtection="1">
      <alignment horizontal="left"/>
      <protection locked="0"/>
    </xf>
    <xf numFmtId="165" fontId="36" fillId="24" borderId="30" xfId="0" applyFont="1" applyFill="1" applyBorder="1" applyAlignment="1" applyProtection="1">
      <alignment horizontal="left"/>
      <protection locked="0"/>
    </xf>
    <xf numFmtId="0" fontId="66" fillId="35" borderId="46" xfId="3" applyFont="1" applyBorder="1" applyAlignment="1" applyProtection="1">
      <alignment horizontal="centerContinuous"/>
    </xf>
    <xf numFmtId="0" fontId="69" fillId="35" borderId="47" xfId="3" applyFont="1" applyBorder="1" applyAlignment="1" applyProtection="1">
      <alignment horizontal="centerContinuous"/>
    </xf>
    <xf numFmtId="0" fontId="69" fillId="35" borderId="50" xfId="3" applyFont="1" applyBorder="1" applyAlignment="1" applyProtection="1">
      <alignment horizontal="centerContinuous"/>
    </xf>
    <xf numFmtId="0" fontId="69" fillId="35" borderId="51" xfId="3" applyFont="1" applyBorder="1" applyAlignment="1" applyProtection="1">
      <alignment horizontal="centerContinuous"/>
    </xf>
    <xf numFmtId="0" fontId="64" fillId="35" borderId="0" xfId="3" applyFont="1" applyProtection="1"/>
    <xf numFmtId="0" fontId="64" fillId="35" borderId="40" xfId="3" applyFont="1" applyBorder="1" applyProtection="1"/>
    <xf numFmtId="171" fontId="30" fillId="0" borderId="0" xfId="2" applyNumberFormat="1" applyFont="1" applyFill="1" applyAlignment="1">
      <alignment horizontal="center"/>
    </xf>
    <xf numFmtId="2" fontId="30" fillId="0" borderId="0" xfId="2" applyNumberFormat="1" applyFont="1" applyFill="1" applyAlignment="1">
      <alignment horizontal="center"/>
    </xf>
    <xf numFmtId="0" fontId="30" fillId="0" borderId="0" xfId="2" applyFont="1" applyFill="1" applyAlignment="1">
      <alignment horizontal="center"/>
    </xf>
    <xf numFmtId="171" fontId="30" fillId="0" borderId="47" xfId="2" applyNumberFormat="1" applyFont="1" applyFill="1" applyBorder="1" applyAlignment="1">
      <alignment horizontal="center"/>
    </xf>
    <xf numFmtId="168" fontId="4" fillId="0" borderId="1" xfId="0" applyNumberFormat="1" applyFont="1" applyBorder="1"/>
    <xf numFmtId="0" fontId="73" fillId="40" borderId="0" xfId="2" applyFont="1" applyFill="1"/>
    <xf numFmtId="0" fontId="46" fillId="0" borderId="0" xfId="2" applyFont="1"/>
    <xf numFmtId="165" fontId="82" fillId="0" borderId="19" xfId="0" applyFont="1" applyBorder="1" applyAlignment="1">
      <alignment horizontal="right"/>
    </xf>
    <xf numFmtId="165" fontId="83" fillId="0" borderId="19" xfId="0" applyFont="1" applyBorder="1" applyAlignment="1">
      <alignment horizontal="right"/>
    </xf>
    <xf numFmtId="0" fontId="30" fillId="15" borderId="47" xfId="2" applyFont="1" applyFill="1" applyBorder="1" applyProtection="1">
      <protection locked="0"/>
    </xf>
    <xf numFmtId="165" fontId="0" fillId="41" borderId="65" xfId="0" applyFill="1" applyBorder="1"/>
    <xf numFmtId="165" fontId="27" fillId="0" borderId="0" xfId="0" applyFont="1" applyAlignment="1">
      <alignment horizontal="right"/>
    </xf>
    <xf numFmtId="14" fontId="4" fillId="0" borderId="0" xfId="0" applyNumberFormat="1" applyFont="1" applyAlignment="1" applyProtection="1">
      <alignment horizontal="left"/>
    </xf>
    <xf numFmtId="165" fontId="84" fillId="0" borderId="0" xfId="0" applyFont="1" applyAlignment="1" applyProtection="1">
      <alignment horizontal="left"/>
    </xf>
    <xf numFmtId="165" fontId="25" fillId="0" borderId="0" xfId="0" applyFont="1" applyAlignment="1" applyProtection="1">
      <alignment horizontal="center"/>
    </xf>
    <xf numFmtId="165" fontId="85" fillId="15" borderId="65" xfId="0" applyFont="1" applyFill="1" applyBorder="1" applyAlignment="1">
      <alignment horizontal="center"/>
    </xf>
    <xf numFmtId="1" fontId="25" fillId="0" borderId="65" xfId="0" applyNumberFormat="1" applyFont="1" applyBorder="1" applyAlignment="1" applyProtection="1">
      <alignment horizontal="center"/>
    </xf>
    <xf numFmtId="165" fontId="25" fillId="0" borderId="32" xfId="0" applyFont="1" applyBorder="1" applyAlignment="1" applyProtection="1">
      <alignment horizontal="center"/>
    </xf>
    <xf numFmtId="1" fontId="0" fillId="0" borderId="0" xfId="0" applyNumberFormat="1" applyAlignment="1">
      <alignment horizontal="center"/>
    </xf>
    <xf numFmtId="1" fontId="0" fillId="15" borderId="65" xfId="0" applyNumberFormat="1" applyFill="1" applyBorder="1" applyAlignment="1" applyProtection="1">
      <alignment horizontal="center"/>
      <protection locked="0"/>
    </xf>
    <xf numFmtId="49" fontId="36" fillId="14" borderId="2" xfId="0" applyNumberFormat="1" applyFont="1" applyFill="1" applyBorder="1" applyAlignment="1" applyProtection="1">
      <alignment horizontal="left"/>
      <protection locked="0"/>
    </xf>
    <xf numFmtId="165" fontId="36" fillId="0" borderId="0" xfId="0" applyFont="1" applyFill="1" applyBorder="1" applyAlignment="1" applyProtection="1">
      <alignment horizontal="left"/>
      <protection locked="0"/>
    </xf>
    <xf numFmtId="49" fontId="36" fillId="19" borderId="65" xfId="0" applyNumberFormat="1" applyFont="1" applyFill="1" applyBorder="1" applyAlignment="1" applyProtection="1">
      <alignment horizontal="left"/>
      <protection locked="0"/>
    </xf>
    <xf numFmtId="165" fontId="0" fillId="9" borderId="65" xfId="0" applyFill="1" applyBorder="1" applyAlignment="1">
      <alignment horizontal="center"/>
    </xf>
    <xf numFmtId="1" fontId="86" fillId="0" borderId="0" xfId="2" applyNumberFormat="1" applyFont="1" applyFill="1" applyAlignment="1">
      <alignment horizontal="center"/>
    </xf>
    <xf numFmtId="165" fontId="76" fillId="0" borderId="0" xfId="0" applyFont="1" applyAlignment="1">
      <alignment vertical="center"/>
    </xf>
    <xf numFmtId="165" fontId="26" fillId="0" borderId="0" xfId="0" applyFont="1"/>
    <xf numFmtId="2" fontId="26" fillId="0" borderId="0" xfId="0" applyNumberFormat="1" applyFont="1"/>
    <xf numFmtId="2" fontId="0" fillId="0" borderId="0" xfId="0" quotePrefix="1" applyNumberFormat="1"/>
    <xf numFmtId="165" fontId="0" fillId="9" borderId="0" xfId="0" quotePrefix="1" applyFill="1"/>
    <xf numFmtId="2" fontId="0" fillId="28" borderId="0" xfId="0" applyNumberFormat="1" applyFill="1"/>
    <xf numFmtId="165" fontId="0" fillId="29" borderId="0" xfId="0" applyFill="1"/>
    <xf numFmtId="165" fontId="0" fillId="30" borderId="0" xfId="0" applyFill="1"/>
    <xf numFmtId="165" fontId="0" fillId="42" borderId="0" xfId="0" applyFill="1"/>
    <xf numFmtId="165" fontId="25" fillId="0" borderId="0" xfId="0" quotePrefix="1" applyFont="1" applyAlignment="1" applyProtection="1">
      <alignment horizontal="right"/>
    </xf>
    <xf numFmtId="1" fontId="40" fillId="0" borderId="0" xfId="0" applyNumberFormat="1" applyFont="1" applyBorder="1" applyAlignment="1" applyProtection="1">
      <alignment horizontal="left"/>
    </xf>
    <xf numFmtId="165" fontId="87" fillId="38" borderId="0" xfId="0" applyFont="1" applyFill="1"/>
    <xf numFmtId="165" fontId="87" fillId="38" borderId="0" xfId="0" applyFont="1" applyFill="1" applyAlignment="1">
      <alignment horizontal="left"/>
    </xf>
    <xf numFmtId="168" fontId="87" fillId="38" borderId="0" xfId="0" applyNumberFormat="1" applyFont="1" applyFill="1"/>
    <xf numFmtId="168" fontId="27" fillId="0" borderId="0" xfId="0" applyNumberFormat="1" applyFont="1"/>
    <xf numFmtId="0" fontId="88" fillId="0" borderId="0" xfId="0" applyNumberFormat="1" applyFont="1" applyBorder="1" applyAlignment="1"/>
    <xf numFmtId="1" fontId="40" fillId="0" borderId="67" xfId="0" applyNumberFormat="1" applyFont="1" applyBorder="1" applyProtection="1"/>
    <xf numFmtId="165" fontId="47" fillId="0" borderId="20" xfId="0" applyFont="1" applyBorder="1" applyAlignment="1" applyProtection="1">
      <alignment horizontal="center"/>
    </xf>
    <xf numFmtId="165" fontId="0" fillId="0" borderId="0" xfId="0" applyAlignment="1">
      <alignment horizontal="right"/>
    </xf>
    <xf numFmtId="165" fontId="89" fillId="0" borderId="0" xfId="0" applyFont="1"/>
    <xf numFmtId="49" fontId="36" fillId="7" borderId="68" xfId="0" applyNumberFormat="1" applyFont="1" applyFill="1" applyBorder="1" applyAlignment="1" applyProtection="1">
      <alignment horizontal="left"/>
      <protection locked="0"/>
    </xf>
    <xf numFmtId="14" fontId="36" fillId="7" borderId="68" xfId="0" applyNumberFormat="1" applyFont="1" applyFill="1" applyBorder="1" applyAlignment="1" applyProtection="1">
      <alignment horizontal="left"/>
      <protection locked="0"/>
    </xf>
    <xf numFmtId="165" fontId="0" fillId="9" borderId="9" xfId="0" applyFill="1" applyBorder="1" applyAlignment="1">
      <alignment horizontal="left"/>
    </xf>
    <xf numFmtId="165" fontId="0" fillId="10" borderId="13" xfId="0" applyFill="1" applyBorder="1" applyAlignment="1">
      <alignment horizontal="left"/>
    </xf>
    <xf numFmtId="165" fontId="0" fillId="9" borderId="13" xfId="0" applyFill="1" applyBorder="1" applyAlignment="1">
      <alignment horizontal="left"/>
    </xf>
    <xf numFmtId="165" fontId="0" fillId="9" borderId="66" xfId="0" applyFill="1" applyBorder="1" applyAlignment="1">
      <alignment horizontal="left"/>
    </xf>
    <xf numFmtId="165" fontId="0" fillId="10" borderId="9" xfId="0" applyFill="1" applyBorder="1" applyAlignment="1" applyProtection="1">
      <alignment horizontal="left"/>
    </xf>
    <xf numFmtId="165" fontId="0" fillId="26" borderId="0" xfId="0" applyFill="1" applyAlignment="1">
      <alignment horizontal="left"/>
    </xf>
    <xf numFmtId="165" fontId="0" fillId="9" borderId="0" xfId="0" applyFill="1"/>
    <xf numFmtId="165" fontId="0" fillId="9" borderId="0" xfId="0" applyFill="1" applyAlignment="1">
      <alignment horizontal="left"/>
    </xf>
    <xf numFmtId="165" fontId="0" fillId="27" borderId="0" xfId="0" applyFill="1" applyAlignment="1">
      <alignment horizontal="left"/>
    </xf>
    <xf numFmtId="165" fontId="0" fillId="44" borderId="0" xfId="0" quotePrefix="1" applyFill="1" applyAlignment="1">
      <alignment horizontal="left"/>
    </xf>
    <xf numFmtId="165" fontId="0" fillId="44" borderId="0" xfId="0" applyFill="1" applyAlignment="1">
      <alignment horizontal="left"/>
    </xf>
    <xf numFmtId="165" fontId="0" fillId="45" borderId="0" xfId="0" quotePrefix="1" applyFill="1"/>
    <xf numFmtId="165" fontId="0" fillId="45" borderId="0" xfId="0" applyFill="1" applyAlignment="1">
      <alignment horizontal="left"/>
    </xf>
    <xf numFmtId="165" fontId="0" fillId="46" borderId="0" xfId="0" quotePrefix="1" applyFill="1" applyAlignment="1">
      <alignment horizontal="left"/>
    </xf>
    <xf numFmtId="165" fontId="0" fillId="46" borderId="0" xfId="0" applyFill="1" applyAlignment="1">
      <alignment horizontal="left"/>
    </xf>
    <xf numFmtId="165" fontId="0" fillId="28" borderId="0" xfId="0" applyFill="1" applyAlignment="1">
      <alignment horizontal="left"/>
    </xf>
    <xf numFmtId="165" fontId="0" fillId="47" borderId="0" xfId="0" quotePrefix="1" applyFill="1"/>
    <xf numFmtId="165" fontId="0" fillId="47" borderId="0" xfId="0" applyFill="1" applyAlignment="1">
      <alignment horizontal="left"/>
    </xf>
    <xf numFmtId="165" fontId="0" fillId="30" borderId="0" xfId="0" applyFill="1" applyAlignment="1">
      <alignment horizontal="left"/>
    </xf>
    <xf numFmtId="165" fontId="0" fillId="48" borderId="0" xfId="0" quotePrefix="1" applyFill="1" applyAlignment="1">
      <alignment horizontal="left"/>
    </xf>
    <xf numFmtId="165" fontId="0" fillId="48" borderId="0" xfId="0" applyFill="1" applyAlignment="1">
      <alignment horizontal="left"/>
    </xf>
    <xf numFmtId="165" fontId="0" fillId="10" borderId="0" xfId="0" applyFill="1" applyAlignment="1">
      <alignment horizontal="left"/>
    </xf>
    <xf numFmtId="165" fontId="0" fillId="49" borderId="0" xfId="0" quotePrefix="1" applyFill="1" applyAlignment="1">
      <alignment horizontal="left"/>
    </xf>
    <xf numFmtId="165" fontId="0" fillId="49" borderId="0" xfId="0" applyFill="1" applyAlignment="1">
      <alignment horizontal="left"/>
    </xf>
    <xf numFmtId="165" fontId="0" fillId="50" borderId="0" xfId="0" quotePrefix="1" applyFill="1" applyAlignment="1">
      <alignment horizontal="left"/>
    </xf>
    <xf numFmtId="165" fontId="0" fillId="50" borderId="0" xfId="0" applyFill="1" applyAlignment="1">
      <alignment horizontal="left"/>
    </xf>
    <xf numFmtId="165" fontId="0" fillId="51" borderId="0" xfId="0" quotePrefix="1" applyFill="1" applyAlignment="1">
      <alignment horizontal="left"/>
    </xf>
    <xf numFmtId="165" fontId="0" fillId="51" borderId="0" xfId="0" applyFill="1" applyAlignment="1">
      <alignment horizontal="left"/>
    </xf>
    <xf numFmtId="165" fontId="0" fillId="37" borderId="0" xfId="0" applyFill="1" applyAlignment="1">
      <alignment horizontal="left"/>
    </xf>
    <xf numFmtId="165" fontId="0" fillId="52" borderId="0" xfId="0" quotePrefix="1" applyFill="1" applyAlignment="1">
      <alignment horizontal="left"/>
    </xf>
    <xf numFmtId="165" fontId="0" fillId="52" borderId="0" xfId="0" applyFill="1" applyAlignment="1">
      <alignment horizontal="left"/>
    </xf>
    <xf numFmtId="165" fontId="86" fillId="0" borderId="0" xfId="0" applyFont="1" applyAlignment="1"/>
    <xf numFmtId="165" fontId="0" fillId="53" borderId="9" xfId="0" applyFill="1" applyBorder="1" applyAlignment="1" applyProtection="1">
      <alignment horizontal="left"/>
    </xf>
    <xf numFmtId="165" fontId="0" fillId="43" borderId="0" xfId="0" applyNumberFormat="1" applyFill="1"/>
    <xf numFmtId="165" fontId="90" fillId="0" borderId="0" xfId="0" applyFont="1" applyBorder="1" applyProtection="1"/>
    <xf numFmtId="14" fontId="17" fillId="3" borderId="8" xfId="0" applyNumberFormat="1" applyFont="1" applyFill="1" applyBorder="1" applyAlignment="1" applyProtection="1">
      <alignment horizontal="right"/>
    </xf>
    <xf numFmtId="165" fontId="87" fillId="0" borderId="0" xfId="0" applyFont="1"/>
    <xf numFmtId="165" fontId="25" fillId="0" borderId="0" xfId="0" applyFont="1" applyAlignment="1" applyProtection="1">
      <alignment horizontal="center"/>
    </xf>
    <xf numFmtId="165" fontId="24" fillId="0" borderId="0" xfId="0" applyFont="1" applyAlignment="1" applyProtection="1">
      <alignment horizontal="center"/>
    </xf>
    <xf numFmtId="165" fontId="4" fillId="0" borderId="0" xfId="0" quotePrefix="1" applyFont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9" fontId="25" fillId="0" borderId="16" xfId="0" applyNumberFormat="1" applyFont="1" applyBorder="1" applyAlignment="1" applyProtection="1">
      <alignment horizontal="center"/>
    </xf>
    <xf numFmtId="169" fontId="25" fillId="0" borderId="0" xfId="0" applyNumberFormat="1" applyFont="1" applyAlignment="1" applyProtection="1">
      <alignment horizontal="center"/>
    </xf>
    <xf numFmtId="1" fontId="25" fillId="0" borderId="0" xfId="0" applyNumberFormat="1" applyFont="1" applyAlignment="1" applyProtection="1">
      <alignment horizontal="center"/>
    </xf>
    <xf numFmtId="165" fontId="6" fillId="0" borderId="0" xfId="0" applyFont="1" applyAlignment="1" applyProtection="1">
      <alignment horizontal="center"/>
    </xf>
    <xf numFmtId="165" fontId="36" fillId="0" borderId="0" xfId="0" applyFont="1" applyAlignment="1" applyProtection="1">
      <alignment horizontal="left"/>
    </xf>
    <xf numFmtId="165" fontId="0" fillId="9" borderId="9" xfId="0" quotePrefix="1" applyFill="1" applyBorder="1" applyAlignment="1" applyProtection="1">
      <alignment horizontal="left"/>
    </xf>
    <xf numFmtId="171" fontId="16" fillId="3" borderId="0" xfId="0" applyNumberFormat="1" applyFont="1" applyFill="1" applyBorder="1" applyAlignment="1" applyProtection="1">
      <alignment horizontal="center"/>
    </xf>
    <xf numFmtId="165" fontId="20" fillId="0" borderId="0" xfId="0" applyFont="1" applyBorder="1" applyAlignment="1">
      <alignment horizontal="left"/>
    </xf>
    <xf numFmtId="165" fontId="81" fillId="0" borderId="0" xfId="0" applyFont="1" applyFill="1" applyBorder="1" applyAlignment="1"/>
    <xf numFmtId="171" fontId="49" fillId="14" borderId="9" xfId="2" applyNumberFormat="1" applyFont="1" applyFill="1" applyBorder="1" applyAlignment="1" applyProtection="1">
      <alignment horizontal="center"/>
      <protection locked="0"/>
    </xf>
    <xf numFmtId="0" fontId="64" fillId="35" borderId="0" xfId="3" applyFont="1" applyAlignment="1">
      <alignment horizontal="center"/>
    </xf>
    <xf numFmtId="165" fontId="91" fillId="0" borderId="0" xfId="0" applyFont="1"/>
    <xf numFmtId="165" fontId="0" fillId="0" borderId="0" xfId="0" applyFont="1"/>
    <xf numFmtId="0" fontId="75" fillId="40" borderId="65" xfId="2" applyFont="1" applyFill="1" applyBorder="1" applyProtection="1">
      <protection locked="0"/>
    </xf>
    <xf numFmtId="0" fontId="75" fillId="40" borderId="65" xfId="2" applyFont="1" applyFill="1" applyBorder="1" applyAlignment="1" applyProtection="1">
      <alignment horizontal="right"/>
      <protection locked="0"/>
    </xf>
    <xf numFmtId="169" fontId="2" fillId="26" borderId="0" xfId="1" applyNumberFormat="1" applyFont="1" applyFill="1" applyProtection="1"/>
    <xf numFmtId="165" fontId="0" fillId="0" borderId="0" xfId="0" applyAlignment="1">
      <alignment horizontal="right"/>
    </xf>
    <xf numFmtId="165" fontId="76" fillId="29" borderId="0" xfId="0" applyFont="1" applyFill="1" applyAlignment="1">
      <alignment horizontal="center" vertical="center"/>
    </xf>
    <xf numFmtId="165" fontId="39" fillId="29" borderId="0" xfId="0" applyFont="1" applyFill="1" applyAlignment="1">
      <alignment vertical="center"/>
    </xf>
    <xf numFmtId="166" fontId="25" fillId="0" borderId="16" xfId="0" applyNumberFormat="1" applyFont="1" applyBorder="1" applyAlignment="1" applyProtection="1">
      <alignment horizontal="center"/>
    </xf>
    <xf numFmtId="165" fontId="41" fillId="0" borderId="0" xfId="0" applyFont="1" applyFill="1" applyBorder="1" applyAlignment="1">
      <alignment horizontal="left"/>
    </xf>
    <xf numFmtId="49" fontId="36" fillId="19" borderId="68" xfId="0" applyNumberFormat="1" applyFont="1" applyFill="1" applyBorder="1" applyAlignment="1" applyProtection="1">
      <alignment horizontal="left"/>
      <protection locked="0"/>
    </xf>
    <xf numFmtId="0" fontId="15" fillId="0" borderId="0" xfId="0" applyNumberFormat="1" applyFont="1" applyBorder="1" applyAlignment="1">
      <alignment horizontal="right"/>
    </xf>
    <xf numFmtId="49" fontId="36" fillId="54" borderId="68" xfId="0" applyNumberFormat="1" applyFont="1" applyFill="1" applyBorder="1" applyAlignment="1" applyProtection="1">
      <alignment horizontal="left"/>
      <protection locked="0"/>
    </xf>
    <xf numFmtId="165" fontId="36" fillId="54" borderId="30" xfId="0" applyFont="1" applyFill="1" applyBorder="1" applyAlignment="1" applyProtection="1">
      <alignment horizontal="left"/>
      <protection locked="0"/>
    </xf>
    <xf numFmtId="49" fontId="15" fillId="0" borderId="72" xfId="0" applyNumberFormat="1" applyFont="1" applyBorder="1" applyAlignment="1">
      <alignment horizontal="right"/>
    </xf>
    <xf numFmtId="165" fontId="94" fillId="0" borderId="0" xfId="0" applyFont="1" applyAlignment="1">
      <alignment vertical="center" wrapText="1"/>
    </xf>
    <xf numFmtId="165" fontId="0" fillId="54" borderId="0" xfId="0" applyFill="1" applyAlignment="1">
      <alignment horizontal="left"/>
    </xf>
    <xf numFmtId="165" fontId="0" fillId="55" borderId="0" xfId="0" applyFill="1" applyAlignment="1">
      <alignment horizontal="left"/>
    </xf>
    <xf numFmtId="165" fontId="0" fillId="0" borderId="9" xfId="0" applyBorder="1" applyAlignment="1">
      <alignment horizontal="center"/>
    </xf>
    <xf numFmtId="165" fontId="17" fillId="0" borderId="9" xfId="0" applyFont="1" applyBorder="1" applyAlignment="1">
      <alignment vertical="top" wrapText="1"/>
    </xf>
    <xf numFmtId="165" fontId="0" fillId="0" borderId="0" xfId="0" applyBorder="1" applyAlignment="1"/>
    <xf numFmtId="49" fontId="96" fillId="30" borderId="2" xfId="0" applyNumberFormat="1" applyFont="1" applyFill="1" applyBorder="1" applyAlignment="1" applyProtection="1">
      <alignment horizontal="left"/>
      <protection locked="0"/>
    </xf>
    <xf numFmtId="49" fontId="15" fillId="0" borderId="73" xfId="0" applyNumberFormat="1" applyFont="1" applyBorder="1" applyAlignment="1">
      <alignment horizontal="right"/>
    </xf>
    <xf numFmtId="165" fontId="25" fillId="0" borderId="74" xfId="0" applyFont="1" applyBorder="1" applyProtection="1"/>
    <xf numFmtId="165" fontId="92" fillId="56" borderId="0" xfId="0" applyFont="1" applyFill="1"/>
    <xf numFmtId="165" fontId="98" fillId="56" borderId="0" xfId="0" applyFont="1" applyFill="1"/>
    <xf numFmtId="165" fontId="86" fillId="56" borderId="0" xfId="0" applyFont="1" applyFill="1" applyAlignment="1">
      <alignment vertical="center"/>
    </xf>
    <xf numFmtId="165" fontId="0" fillId="0" borderId="0" xfId="0" applyAlignment="1">
      <alignment horizontal="right"/>
    </xf>
    <xf numFmtId="1" fontId="0" fillId="0" borderId="9" xfId="0" applyNumberFormat="1" applyFill="1" applyBorder="1" applyAlignment="1" applyProtection="1">
      <alignment horizontal="center"/>
    </xf>
    <xf numFmtId="2" fontId="0" fillId="0" borderId="9" xfId="0" applyNumberFormat="1" applyFill="1" applyBorder="1" applyAlignment="1" applyProtection="1">
      <alignment horizontal="center"/>
    </xf>
    <xf numFmtId="2" fontId="0" fillId="14" borderId="9" xfId="0" applyNumberFormat="1" applyFill="1" applyBorder="1" applyAlignment="1" applyProtection="1">
      <alignment horizontal="center"/>
      <protection locked="0"/>
    </xf>
    <xf numFmtId="49" fontId="0" fillId="14" borderId="9" xfId="0" applyNumberFormat="1" applyFill="1" applyBorder="1" applyAlignment="1" applyProtection="1">
      <alignment horizontal="center"/>
      <protection locked="0"/>
    </xf>
    <xf numFmtId="0" fontId="0" fillId="14" borderId="20" xfId="0" applyNumberFormat="1" applyFill="1" applyBorder="1" applyAlignment="1" applyProtection="1">
      <alignment horizontal="left"/>
      <protection locked="0"/>
    </xf>
    <xf numFmtId="2" fontId="0" fillId="0" borderId="0" xfId="0" applyNumberFormat="1" applyAlignment="1">
      <alignment horizontal="center"/>
    </xf>
    <xf numFmtId="165" fontId="0" fillId="0" borderId="9" xfId="0" applyBorder="1" applyAlignment="1">
      <alignment horizontal="right"/>
    </xf>
    <xf numFmtId="165" fontId="0" fillId="0" borderId="9" xfId="0" applyBorder="1"/>
    <xf numFmtId="171" fontId="0" fillId="0" borderId="9" xfId="0" applyNumberFormat="1" applyBorder="1" applyAlignment="1">
      <alignment horizontal="center"/>
    </xf>
    <xf numFmtId="171" fontId="0" fillId="14" borderId="9" xfId="0" applyNumberFormat="1" applyFill="1" applyBorder="1" applyAlignment="1" applyProtection="1">
      <alignment horizontal="center"/>
      <protection locked="0"/>
    </xf>
    <xf numFmtId="165" fontId="8" fillId="0" borderId="0" xfId="0" applyFont="1" applyAlignment="1">
      <alignment horizontal="right"/>
    </xf>
    <xf numFmtId="1" fontId="0" fillId="14" borderId="9" xfId="0" applyNumberFormat="1" applyFill="1" applyBorder="1" applyAlignment="1" applyProtection="1">
      <alignment horizontal="center"/>
      <protection locked="0"/>
    </xf>
    <xf numFmtId="0" fontId="0" fillId="14" borderId="9" xfId="0" applyNumberFormat="1" applyFill="1" applyBorder="1" applyAlignment="1" applyProtection="1">
      <alignment horizontal="left" shrinkToFit="1"/>
      <protection locked="0"/>
    </xf>
    <xf numFmtId="0" fontId="0" fillId="0" borderId="9" xfId="0" applyNumberFormat="1" applyBorder="1" applyAlignment="1">
      <alignment horizontal="left" shrinkToFit="1"/>
    </xf>
    <xf numFmtId="165" fontId="0" fillId="57" borderId="0" xfId="0" applyFill="1"/>
    <xf numFmtId="0" fontId="100" fillId="0" borderId="0" xfId="0" applyNumberFormat="1" applyFont="1" applyBorder="1" applyAlignment="1"/>
    <xf numFmtId="165" fontId="81" fillId="0" borderId="0" xfId="0" applyFont="1" applyBorder="1" applyAlignment="1"/>
    <xf numFmtId="165" fontId="81" fillId="0" borderId="0" xfId="0" applyFont="1"/>
    <xf numFmtId="165" fontId="93" fillId="57" borderId="0" xfId="0" applyFont="1" applyFill="1" applyAlignment="1">
      <alignment horizontal="center" vertical="center"/>
    </xf>
    <xf numFmtId="165" fontId="15" fillId="0" borderId="0" xfId="0" quotePrefix="1" applyFont="1" applyAlignment="1">
      <alignment horizontal="right"/>
    </xf>
    <xf numFmtId="165" fontId="87" fillId="27" borderId="0" xfId="0" applyFont="1" applyFill="1"/>
    <xf numFmtId="165" fontId="79" fillId="27" borderId="0" xfId="0" applyFont="1" applyFill="1"/>
    <xf numFmtId="165" fontId="30" fillId="27" borderId="0" xfId="0" applyFont="1" applyFill="1" applyAlignment="1">
      <alignment vertical="center"/>
    </xf>
    <xf numFmtId="165" fontId="79" fillId="26" borderId="0" xfId="0" applyFont="1" applyFill="1"/>
    <xf numFmtId="165" fontId="30" fillId="26" borderId="0" xfId="0" applyFont="1" applyFill="1"/>
    <xf numFmtId="165" fontId="30" fillId="26" borderId="0" xfId="0" applyFont="1" applyFill="1" applyAlignment="1">
      <alignment vertical="center"/>
    </xf>
    <xf numFmtId="165" fontId="92" fillId="0" borderId="0" xfId="0" applyFont="1"/>
    <xf numFmtId="165" fontId="18" fillId="9" borderId="69" xfId="0" applyFont="1" applyFill="1" applyBorder="1" applyAlignment="1">
      <alignment horizontal="center" vertical="center" wrapText="1"/>
    </xf>
    <xf numFmtId="165" fontId="18" fillId="9" borderId="71" xfId="0" applyFont="1" applyFill="1" applyBorder="1" applyAlignment="1">
      <alignment horizontal="center" vertical="center" wrapText="1"/>
    </xf>
    <xf numFmtId="165" fontId="18" fillId="9" borderId="70" xfId="0" applyFont="1" applyFill="1" applyBorder="1" applyAlignment="1">
      <alignment horizontal="center" vertical="center" wrapText="1"/>
    </xf>
    <xf numFmtId="165" fontId="25" fillId="0" borderId="0" xfId="0" applyFont="1" applyAlignment="1" applyProtection="1">
      <alignment horizontal="center"/>
    </xf>
    <xf numFmtId="165" fontId="94" fillId="0" borderId="0" xfId="0" applyFont="1" applyAlignment="1">
      <alignment horizontal="center" vertical="center" wrapText="1"/>
    </xf>
    <xf numFmtId="49" fontId="0" fillId="14" borderId="9" xfId="0" applyNumberFormat="1" applyFill="1" applyBorder="1" applyAlignment="1" applyProtection="1">
      <alignment horizontal="left"/>
      <protection locked="0"/>
    </xf>
    <xf numFmtId="0" fontId="0" fillId="14" borderId="20" xfId="0" applyNumberFormat="1" applyFill="1" applyBorder="1" applyAlignment="1" applyProtection="1">
      <alignment horizontal="left"/>
      <protection locked="0"/>
    </xf>
    <xf numFmtId="165" fontId="95" fillId="0" borderId="0" xfId="0" applyFont="1" applyAlignment="1">
      <alignment horizontal="center" vertical="center"/>
    </xf>
    <xf numFmtId="165" fontId="0" fillId="0" borderId="0" xfId="0" applyAlignment="1">
      <alignment horizontal="center"/>
    </xf>
    <xf numFmtId="165" fontId="0" fillId="0" borderId="9" xfId="0" applyBorder="1" applyAlignment="1">
      <alignment horizontal="left"/>
    </xf>
    <xf numFmtId="14" fontId="0" fillId="14" borderId="9" xfId="0" applyNumberFormat="1" applyFill="1" applyBorder="1" applyAlignment="1">
      <alignment horizontal="left"/>
    </xf>
    <xf numFmtId="1" fontId="0" fillId="14" borderId="9" xfId="0" applyNumberFormat="1" applyFill="1" applyBorder="1" applyAlignment="1" applyProtection="1">
      <alignment horizontal="left"/>
      <protection locked="0"/>
    </xf>
    <xf numFmtId="167" fontId="17" fillId="3" borderId="29" xfId="0" applyNumberFormat="1" applyFont="1" applyFill="1" applyBorder="1" applyAlignment="1" applyProtection="1">
      <alignment horizontal="center"/>
    </xf>
    <xf numFmtId="167" fontId="17" fillId="3" borderId="0" xfId="0" applyNumberFormat="1" applyFont="1" applyFill="1" applyBorder="1" applyAlignment="1" applyProtection="1">
      <alignment horizontal="center"/>
    </xf>
    <xf numFmtId="167" fontId="17" fillId="5" borderId="29" xfId="0" applyNumberFormat="1" applyFont="1" applyFill="1" applyBorder="1" applyAlignment="1" applyProtection="1">
      <alignment horizontal="left"/>
    </xf>
    <xf numFmtId="167" fontId="17" fillId="5" borderId="0" xfId="0" applyNumberFormat="1" applyFont="1" applyFill="1" applyBorder="1" applyAlignment="1" applyProtection="1">
      <alignment horizontal="left"/>
    </xf>
    <xf numFmtId="165" fontId="25" fillId="0" borderId="16" xfId="0" applyFont="1" applyBorder="1" applyAlignment="1" applyProtection="1"/>
    <xf numFmtId="165" fontId="28" fillId="0" borderId="16" xfId="0" applyFont="1" applyBorder="1" applyAlignment="1"/>
    <xf numFmtId="165" fontId="25" fillId="0" borderId="17" xfId="0" applyFont="1" applyBorder="1" applyAlignment="1" applyProtection="1"/>
    <xf numFmtId="165" fontId="28" fillId="0" borderId="17" xfId="0" applyFont="1" applyBorder="1" applyAlignment="1"/>
    <xf numFmtId="165" fontId="0" fillId="0" borderId="0" xfId="0" applyAlignment="1">
      <alignment horizontal="right"/>
    </xf>
    <xf numFmtId="0" fontId="99" fillId="0" borderId="9" xfId="2" applyFont="1" applyBorder="1" applyAlignment="1">
      <alignment horizontal="center" vertical="center" wrapText="1"/>
    </xf>
    <xf numFmtId="0" fontId="26" fillId="0" borderId="11" xfId="2" applyFont="1" applyBorder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49" fillId="36" borderId="28" xfId="2" applyFont="1" applyFill="1" applyBorder="1" applyAlignment="1" applyProtection="1">
      <alignment horizontal="left"/>
    </xf>
    <xf numFmtId="0" fontId="49" fillId="36" borderId="34" xfId="2" applyFont="1" applyFill="1" applyBorder="1" applyAlignment="1" applyProtection="1">
      <alignment horizontal="left"/>
    </xf>
    <xf numFmtId="0" fontId="49" fillId="36" borderId="35" xfId="2" applyFont="1" applyFill="1" applyBorder="1" applyAlignment="1" applyProtection="1">
      <alignment horizontal="left"/>
    </xf>
    <xf numFmtId="0" fontId="52" fillId="36" borderId="36" xfId="2" applyFont="1" applyFill="1" applyBorder="1" applyAlignment="1" applyProtection="1">
      <alignment horizontal="center"/>
    </xf>
    <xf numFmtId="0" fontId="52" fillId="36" borderId="37" xfId="2" applyFont="1" applyFill="1" applyBorder="1" applyAlignment="1" applyProtection="1">
      <alignment horizontal="center"/>
    </xf>
    <xf numFmtId="0" fontId="44" fillId="33" borderId="20" xfId="2" applyFill="1" applyBorder="1" applyAlignment="1">
      <alignment horizontal="center"/>
    </xf>
    <xf numFmtId="0" fontId="44" fillId="0" borderId="20" xfId="2" applyBorder="1"/>
    <xf numFmtId="0" fontId="47" fillId="0" borderId="28" xfId="2" applyFont="1" applyBorder="1" applyAlignment="1">
      <alignment horizontal="center"/>
    </xf>
    <xf numFmtId="0" fontId="47" fillId="0" borderId="35" xfId="2" applyFont="1" applyBorder="1" applyAlignment="1">
      <alignment horizontal="center"/>
    </xf>
    <xf numFmtId="0" fontId="47" fillId="0" borderId="28" xfId="2" applyFont="1" applyBorder="1" applyAlignment="1" applyProtection="1">
      <alignment horizontal="left"/>
    </xf>
    <xf numFmtId="0" fontId="47" fillId="0" borderId="34" xfId="2" applyFont="1" applyBorder="1" applyAlignment="1" applyProtection="1">
      <alignment horizontal="left"/>
    </xf>
    <xf numFmtId="0" fontId="47" fillId="0" borderId="35" xfId="2" applyFont="1" applyBorder="1" applyAlignment="1" applyProtection="1">
      <alignment horizontal="left"/>
    </xf>
    <xf numFmtId="0" fontId="47" fillId="9" borderId="36" xfId="2" applyFont="1" applyFill="1" applyBorder="1" applyAlignment="1" applyProtection="1">
      <alignment horizontal="center"/>
    </xf>
    <xf numFmtId="0" fontId="47" fillId="9" borderId="37" xfId="2" applyFont="1" applyFill="1" applyBorder="1" applyAlignment="1" applyProtection="1">
      <alignment horizontal="center"/>
    </xf>
    <xf numFmtId="0" fontId="51" fillId="36" borderId="36" xfId="2" applyFont="1" applyFill="1" applyBorder="1" applyAlignment="1" applyProtection="1">
      <alignment horizontal="center"/>
    </xf>
    <xf numFmtId="0" fontId="51" fillId="36" borderId="37" xfId="2" applyFont="1" applyFill="1" applyBorder="1" applyAlignment="1" applyProtection="1">
      <alignment horizontal="center"/>
    </xf>
    <xf numFmtId="0" fontId="64" fillId="35" borderId="0" xfId="3" applyFont="1"/>
    <xf numFmtId="0" fontId="44" fillId="0" borderId="0" xfId="2"/>
    <xf numFmtId="0" fontId="64" fillId="14" borderId="16" xfId="3" applyFont="1" applyFill="1" applyBorder="1" applyProtection="1">
      <protection locked="0"/>
    </xf>
    <xf numFmtId="0" fontId="66" fillId="32" borderId="39" xfId="3" applyFont="1" applyFill="1" applyBorder="1" applyAlignment="1" applyProtection="1">
      <alignment vertical="center"/>
    </xf>
    <xf numFmtId="0" fontId="66" fillId="32" borderId="39" xfId="3" applyFont="1" applyFill="1" applyBorder="1" applyAlignment="1" applyProtection="1">
      <alignment horizontal="left" vertical="center"/>
    </xf>
    <xf numFmtId="0" fontId="66" fillId="8" borderId="39" xfId="2" applyFont="1" applyFill="1" applyBorder="1" applyProtection="1"/>
    <xf numFmtId="14" fontId="66" fillId="8" borderId="39" xfId="3" applyNumberFormat="1" applyFont="1" applyFill="1" applyBorder="1" applyAlignment="1" applyProtection="1">
      <alignment horizontal="left"/>
    </xf>
    <xf numFmtId="0" fontId="66" fillId="8" borderId="39" xfId="2" applyFont="1" applyFill="1" applyBorder="1" applyAlignment="1" applyProtection="1">
      <alignment horizontal="left"/>
    </xf>
    <xf numFmtId="0" fontId="66" fillId="32" borderId="0" xfId="3" applyFont="1" applyFill="1" applyAlignment="1" applyProtection="1">
      <alignment horizontal="left"/>
      <protection locked="0"/>
    </xf>
    <xf numFmtId="0" fontId="66" fillId="8" borderId="0" xfId="2" applyFont="1" applyFill="1" applyProtection="1">
      <protection locked="0"/>
    </xf>
    <xf numFmtId="0" fontId="66" fillId="8" borderId="0" xfId="3" applyFont="1" applyFill="1" applyAlignment="1" applyProtection="1">
      <alignment horizontal="left"/>
      <protection locked="0"/>
    </xf>
    <xf numFmtId="0" fontId="64" fillId="35" borderId="0" xfId="3" applyFont="1" applyAlignment="1">
      <alignment horizontal="center"/>
    </xf>
    <xf numFmtId="0" fontId="68" fillId="0" borderId="0" xfId="2" applyFont="1" applyAlignment="1">
      <alignment horizontal="center"/>
    </xf>
    <xf numFmtId="0" fontId="66" fillId="32" borderId="0" xfId="3" applyFont="1" applyFill="1" applyAlignment="1" applyProtection="1">
      <alignment vertical="center"/>
      <protection locked="0"/>
    </xf>
    <xf numFmtId="0" fontId="66" fillId="8" borderId="0" xfId="2" applyFont="1" applyFill="1" applyAlignment="1" applyProtection="1">
      <alignment vertical="center"/>
      <protection locked="0"/>
    </xf>
    <xf numFmtId="0" fontId="66" fillId="32" borderId="40" xfId="3" applyFont="1" applyFill="1" applyBorder="1" applyAlignment="1" applyProtection="1">
      <alignment vertical="center"/>
    </xf>
    <xf numFmtId="0" fontId="67" fillId="0" borderId="40" xfId="2" applyFont="1" applyBorder="1" applyAlignment="1" applyProtection="1">
      <alignment vertical="center"/>
    </xf>
    <xf numFmtId="0" fontId="64" fillId="8" borderId="16" xfId="3" applyFont="1" applyFill="1" applyBorder="1"/>
    <xf numFmtId="0" fontId="68" fillId="8" borderId="16" xfId="2" applyFont="1" applyFill="1" applyBorder="1"/>
    <xf numFmtId="165" fontId="76" fillId="0" borderId="0" xfId="0" applyFont="1" applyAlignment="1">
      <alignment horizontal="center" vertical="center"/>
    </xf>
    <xf numFmtId="165" fontId="76" fillId="37" borderId="0" xfId="0" applyFont="1" applyFill="1" applyAlignment="1">
      <alignment horizontal="center" vertical="center"/>
    </xf>
    <xf numFmtId="165" fontId="76" fillId="38" borderId="0" xfId="0" applyFont="1" applyFill="1" applyAlignment="1">
      <alignment horizontal="center" vertical="center"/>
    </xf>
    <xf numFmtId="165" fontId="76" fillId="39" borderId="0" xfId="0" applyFont="1" applyFill="1" applyAlignment="1">
      <alignment horizontal="center" vertical="center"/>
    </xf>
    <xf numFmtId="165" fontId="77" fillId="26" borderId="0" xfId="0" applyFont="1" applyFill="1" applyAlignment="1">
      <alignment horizontal="center" vertical="center"/>
    </xf>
    <xf numFmtId="165" fontId="77" fillId="27" borderId="0" xfId="0" applyFont="1" applyFill="1" applyAlignment="1">
      <alignment horizontal="center" vertical="center"/>
    </xf>
    <xf numFmtId="165" fontId="77" fillId="28" borderId="0" xfId="0" applyFont="1" applyFill="1" applyAlignment="1">
      <alignment horizontal="center" vertical="center"/>
    </xf>
    <xf numFmtId="165" fontId="77" fillId="29" borderId="0" xfId="0" applyFont="1" applyFill="1" applyAlignment="1">
      <alignment horizontal="center" vertical="center"/>
    </xf>
    <xf numFmtId="165" fontId="77" fillId="30" borderId="0" xfId="0" applyFont="1" applyFill="1" applyAlignment="1">
      <alignment horizontal="center" vertical="center"/>
    </xf>
    <xf numFmtId="165" fontId="97" fillId="56" borderId="0" xfId="0" applyFont="1" applyFill="1" applyAlignment="1">
      <alignment horizontal="center" vertical="center"/>
    </xf>
    <xf numFmtId="165" fontId="77" fillId="0" borderId="0" xfId="0" applyFont="1" applyAlignment="1">
      <alignment horizontal="center" vertical="center"/>
    </xf>
    <xf numFmtId="165" fontId="76" fillId="29" borderId="0" xfId="0" applyFont="1" applyFill="1" applyAlignment="1">
      <alignment horizontal="center" vertical="center"/>
    </xf>
    <xf numFmtId="165" fontId="93" fillId="57" borderId="0" xfId="0" applyFont="1" applyFill="1" applyAlignment="1">
      <alignment horizontal="center" vertical="center"/>
    </xf>
    <xf numFmtId="165" fontId="77" fillId="9" borderId="0" xfId="0" applyFont="1" applyFill="1" applyAlignment="1">
      <alignment horizontal="center" vertical="center"/>
    </xf>
  </cellXfs>
  <cellStyles count="4">
    <cellStyle name="Normal" xfId="0" builtinId="0"/>
    <cellStyle name="Normal 2" xfId="2" xr:uid="{63B260F5-9FFF-4271-AC1B-D2636EFDBE7B}"/>
    <cellStyle name="Normal_955" xfId="3" xr:uid="{2286CDB6-CC3E-4FCF-BEAF-62F1ED1569C3}"/>
    <cellStyle name="Normal_Sheet1" xfId="1" xr:uid="{00000000-0005-0000-0000-000001000000}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FF"/>
      <color rgb="FF0000FF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0.xml"/><Relationship Id="rId18" Type="http://schemas.openxmlformats.org/officeDocument/2006/relationships/worksheet" Target="worksheets/sheet15.xml"/><Relationship Id="rId26" Type="http://schemas.openxmlformats.org/officeDocument/2006/relationships/worksheet" Target="worksheets/sheet2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18.xml"/><Relationship Id="rId34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3.xml"/><Relationship Id="rId17" Type="http://schemas.openxmlformats.org/officeDocument/2006/relationships/worksheet" Target="worksheets/sheet14.xml"/><Relationship Id="rId25" Type="http://schemas.openxmlformats.org/officeDocument/2006/relationships/worksheet" Target="worksheets/sheet22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3.xml"/><Relationship Id="rId20" Type="http://schemas.openxmlformats.org/officeDocument/2006/relationships/worksheet" Target="worksheets/sheet17.xml"/><Relationship Id="rId29" Type="http://schemas.openxmlformats.org/officeDocument/2006/relationships/worksheet" Target="worksheets/sheet2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2.xml"/><Relationship Id="rId24" Type="http://schemas.openxmlformats.org/officeDocument/2006/relationships/worksheet" Target="worksheets/sheet21.xml"/><Relationship Id="rId32" Type="http://schemas.openxmlformats.org/officeDocument/2006/relationships/styles" Target="styles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23" Type="http://schemas.openxmlformats.org/officeDocument/2006/relationships/worksheet" Target="worksheets/sheet20.xml"/><Relationship Id="rId28" Type="http://schemas.openxmlformats.org/officeDocument/2006/relationships/worksheet" Target="worksheets/sheet25.xml"/><Relationship Id="rId36" Type="http://schemas.openxmlformats.org/officeDocument/2006/relationships/customXml" Target="../customXml/item1.xml"/><Relationship Id="rId10" Type="http://schemas.openxmlformats.org/officeDocument/2006/relationships/chartsheet" Target="chartsheets/sheet1.xml"/><Relationship Id="rId19" Type="http://schemas.openxmlformats.org/officeDocument/2006/relationships/worksheet" Target="worksheets/sheet16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1.xml"/><Relationship Id="rId22" Type="http://schemas.openxmlformats.org/officeDocument/2006/relationships/worksheet" Target="worksheets/sheet19.xml"/><Relationship Id="rId27" Type="http://schemas.openxmlformats.org/officeDocument/2006/relationships/worksheet" Target="worksheets/sheet24.xml"/><Relationship Id="rId30" Type="http://schemas.openxmlformats.org/officeDocument/2006/relationships/worksheet" Target="worksheets/sheet27.xml"/><Relationship Id="rId35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Tarantula</a:t>
            </a:r>
            <a:r>
              <a:rPr lang="en-US" baseline="0"/>
              <a:t> Curve - </a:t>
            </a:r>
            <a:r>
              <a:rPr lang="en-US"/>
              <a:t>Combined Aggregate Gradation, % Retained </a:t>
            </a:r>
          </a:p>
        </c:rich>
      </c:tx>
      <c:layout>
        <c:manualLayout>
          <c:xMode val="edge"/>
          <c:yMode val="edge"/>
          <c:x val="0.23639607493309545"/>
          <c:y val="1.96335078534031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82247992863514E-2"/>
          <c:y val="0.17408376963350783"/>
          <c:w val="0.88849241748438912"/>
          <c:h val="0.71596858638743466"/>
        </c:manualLayout>
      </c:layout>
      <c:lineChart>
        <c:grouping val="standard"/>
        <c:varyColors val="0"/>
        <c:ser>
          <c:idx val="0"/>
          <c:order val="0"/>
          <c:tx>
            <c:strRef>
              <c:f>'QMC Gradation'!$P$3</c:f>
              <c:strCache>
                <c:ptCount val="1"/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'QMC Gradation'!$L$4:$L$15</c:f>
              <c:strCache>
                <c:ptCount val="12"/>
                <c:pt idx="0">
                  <c:v>#200</c:v>
                </c:pt>
                <c:pt idx="1">
                  <c:v>#100</c:v>
                </c:pt>
                <c:pt idx="2">
                  <c:v>#50</c:v>
                </c:pt>
                <c:pt idx="3">
                  <c:v>#30</c:v>
                </c:pt>
                <c:pt idx="4">
                  <c:v>#16</c:v>
                </c:pt>
                <c:pt idx="5">
                  <c:v>#8</c:v>
                </c:pt>
                <c:pt idx="6">
                  <c:v>#4</c:v>
                </c:pt>
                <c:pt idx="7">
                  <c:v>3/8</c:v>
                </c:pt>
                <c:pt idx="8">
                  <c:v>1/2</c:v>
                </c:pt>
                <c:pt idx="9">
                  <c:v>3/4</c:v>
                </c:pt>
                <c:pt idx="10">
                  <c:v>1</c:v>
                </c:pt>
                <c:pt idx="11">
                  <c:v>1 1/2</c:v>
                </c:pt>
              </c:strCache>
            </c:strRef>
          </c:cat>
          <c:val>
            <c:numRef>
              <c:f>'QMC Gradation'!$P$4:$P$15</c:f>
              <c:numCache>
                <c:formatCode>0.00_)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D-4F0F-8B46-155D2A6AF7B5}"/>
            </c:ext>
          </c:extLst>
        </c:ser>
        <c:ser>
          <c:idx val="1"/>
          <c:order val="1"/>
          <c:tx>
            <c:strRef>
              <c:f>'QMC Gradation'!$Q$3</c:f>
              <c:strCache>
                <c:ptCount val="1"/>
              </c:strCache>
            </c:strRef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strRef>
              <c:f>'QMC Gradation'!$L$4:$L$15</c:f>
              <c:strCache>
                <c:ptCount val="12"/>
                <c:pt idx="0">
                  <c:v>#200</c:v>
                </c:pt>
                <c:pt idx="1">
                  <c:v>#100</c:v>
                </c:pt>
                <c:pt idx="2">
                  <c:v>#50</c:v>
                </c:pt>
                <c:pt idx="3">
                  <c:v>#30</c:v>
                </c:pt>
                <c:pt idx="4">
                  <c:v>#16</c:v>
                </c:pt>
                <c:pt idx="5">
                  <c:v>#8</c:v>
                </c:pt>
                <c:pt idx="6">
                  <c:v>#4</c:v>
                </c:pt>
                <c:pt idx="7">
                  <c:v>3/8</c:v>
                </c:pt>
                <c:pt idx="8">
                  <c:v>1/2</c:v>
                </c:pt>
                <c:pt idx="9">
                  <c:v>3/4</c:v>
                </c:pt>
                <c:pt idx="10">
                  <c:v>1</c:v>
                </c:pt>
                <c:pt idx="11">
                  <c:v>1 1/2</c:v>
                </c:pt>
              </c:strCache>
            </c:strRef>
          </c:cat>
          <c:val>
            <c:numRef>
              <c:f>'QMC Gradation'!$Q$4:$Q$15</c:f>
              <c:numCache>
                <c:formatCode>General</c:formatCode>
                <c:ptCount val="12"/>
                <c:pt idx="2">
                  <c:v>0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D-4F0F-8B46-155D2A6AF7B5}"/>
            </c:ext>
          </c:extLst>
        </c:ser>
        <c:ser>
          <c:idx val="2"/>
          <c:order val="2"/>
          <c:tx>
            <c:strRef>
              <c:f>'QMC Gradation'!$R$3</c:f>
              <c:strCache>
                <c:ptCount val="1"/>
              </c:strCache>
            </c:strRef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strRef>
              <c:f>'QMC Gradation'!$L$4:$L$15</c:f>
              <c:strCache>
                <c:ptCount val="12"/>
                <c:pt idx="0">
                  <c:v>#200</c:v>
                </c:pt>
                <c:pt idx="1">
                  <c:v>#100</c:v>
                </c:pt>
                <c:pt idx="2">
                  <c:v>#50</c:v>
                </c:pt>
                <c:pt idx="3">
                  <c:v>#30</c:v>
                </c:pt>
                <c:pt idx="4">
                  <c:v>#16</c:v>
                </c:pt>
                <c:pt idx="5">
                  <c:v>#8</c:v>
                </c:pt>
                <c:pt idx="6">
                  <c:v>#4</c:v>
                </c:pt>
                <c:pt idx="7">
                  <c:v>3/8</c:v>
                </c:pt>
                <c:pt idx="8">
                  <c:v>1/2</c:v>
                </c:pt>
                <c:pt idx="9">
                  <c:v>3/4</c:v>
                </c:pt>
                <c:pt idx="10">
                  <c:v>1</c:v>
                </c:pt>
                <c:pt idx="11">
                  <c:v>1 1/2</c:v>
                </c:pt>
              </c:strCache>
            </c:strRef>
          </c:cat>
          <c:val>
            <c:numRef>
              <c:f>'QMC Gradation'!$R$4:$R$15</c:f>
              <c:numCache>
                <c:formatCode>General</c:formatCode>
                <c:ptCount val="12"/>
                <c:pt idx="0">
                  <c:v>0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1D-4F0F-8B46-155D2A6AF7B5}"/>
            </c:ext>
          </c:extLst>
        </c:ser>
        <c:ser>
          <c:idx val="3"/>
          <c:order val="3"/>
          <c:tx>
            <c:strRef>
              <c:f>'QMC Gradation'!$S$3</c:f>
              <c:strCache>
                <c:ptCount val="1"/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'QMC Gradation'!$L$4:$L$15</c:f>
              <c:strCache>
                <c:ptCount val="12"/>
                <c:pt idx="0">
                  <c:v>#200</c:v>
                </c:pt>
                <c:pt idx="1">
                  <c:v>#100</c:v>
                </c:pt>
                <c:pt idx="2">
                  <c:v>#50</c:v>
                </c:pt>
                <c:pt idx="3">
                  <c:v>#30</c:v>
                </c:pt>
                <c:pt idx="4">
                  <c:v>#16</c:v>
                </c:pt>
                <c:pt idx="5">
                  <c:v>#8</c:v>
                </c:pt>
                <c:pt idx="6">
                  <c:v>#4</c:v>
                </c:pt>
                <c:pt idx="7">
                  <c:v>3/8</c:v>
                </c:pt>
                <c:pt idx="8">
                  <c:v>1/2</c:v>
                </c:pt>
                <c:pt idx="9">
                  <c:v>3/4</c:v>
                </c:pt>
                <c:pt idx="10">
                  <c:v>1</c:v>
                </c:pt>
                <c:pt idx="11">
                  <c:v>1 1/2</c:v>
                </c:pt>
              </c:strCache>
            </c:strRef>
          </c:cat>
          <c:val>
            <c:numRef>
              <c:f>'QMC Gradation'!$S$4:$S$15</c:f>
              <c:numCache>
                <c:formatCode>General</c:formatCode>
                <c:ptCount val="12"/>
                <c:pt idx="1">
                  <c:v>0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E-4F3F-84B0-1EB6B5954E60}"/>
            </c:ext>
          </c:extLst>
        </c:ser>
        <c:ser>
          <c:idx val="4"/>
          <c:order val="4"/>
          <c:tx>
            <c:strRef>
              <c:f>'QMC Gradation'!$T$3</c:f>
              <c:strCache>
                <c:ptCount val="1"/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'QMC Gradation'!$L$4:$L$15</c:f>
              <c:strCache>
                <c:ptCount val="12"/>
                <c:pt idx="0">
                  <c:v>#200</c:v>
                </c:pt>
                <c:pt idx="1">
                  <c:v>#100</c:v>
                </c:pt>
                <c:pt idx="2">
                  <c:v>#50</c:v>
                </c:pt>
                <c:pt idx="3">
                  <c:v>#30</c:v>
                </c:pt>
                <c:pt idx="4">
                  <c:v>#16</c:v>
                </c:pt>
                <c:pt idx="5">
                  <c:v>#8</c:v>
                </c:pt>
                <c:pt idx="6">
                  <c:v>#4</c:v>
                </c:pt>
                <c:pt idx="7">
                  <c:v>3/8</c:v>
                </c:pt>
                <c:pt idx="8">
                  <c:v>1/2</c:v>
                </c:pt>
                <c:pt idx="9">
                  <c:v>3/4</c:v>
                </c:pt>
                <c:pt idx="10">
                  <c:v>1</c:v>
                </c:pt>
                <c:pt idx="11">
                  <c:v>1 1/2</c:v>
                </c:pt>
              </c:strCache>
            </c:strRef>
          </c:cat>
          <c:val>
            <c:numRef>
              <c:f>'QMC Gradation'!$T$4:$T$15</c:f>
              <c:numCache>
                <c:formatCode>General</c:formatCode>
                <c:ptCount val="12"/>
                <c:pt idx="0">
                  <c:v>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12</c:v>
                </c:pt>
                <c:pt idx="5">
                  <c:v>12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16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E-4F3F-84B0-1EB6B5954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076240"/>
        <c:axId val="285576528"/>
      </c:lineChart>
      <c:catAx>
        <c:axId val="2860762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Sieve Size</a:t>
                </a:r>
              </a:p>
            </c:rich>
          </c:tx>
          <c:layout>
            <c:manualLayout>
              <c:xMode val="edge"/>
              <c:yMode val="edge"/>
              <c:x val="0.49063336306868865"/>
              <c:y val="0.942408376963350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557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5576528"/>
        <c:scaling>
          <c:orientation val="minMax"/>
          <c:max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 Retained</a:t>
                </a:r>
              </a:p>
            </c:rich>
          </c:tx>
          <c:layout>
            <c:manualLayout>
              <c:xMode val="edge"/>
              <c:yMode val="edge"/>
              <c:x val="2.0559017248260175E-2"/>
              <c:y val="0.421465962757917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6076240"/>
        <c:crosses val="autoZero"/>
        <c:crossBetween val="midCat"/>
        <c:minorUnit val="1"/>
      </c:valAx>
      <c:spPr>
        <a:noFill/>
        <a:ln w="254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12700"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autoTitleDeleted val="0"/>
    <c:plotArea>
      <c:layout>
        <c:manualLayout>
          <c:layoutTarget val="inner"/>
          <c:xMode val="edge"/>
          <c:yMode val="edge"/>
          <c:x val="7.8501338090990178E-2"/>
          <c:y val="0.162303664921466"/>
          <c:w val="0.85102586975914363"/>
          <c:h val="0.74869109947644008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'QMC Gradation'!$O$16:$O$17</c:f>
              <c:numCache>
                <c:formatCode>General</c:formatCode>
                <c:ptCount val="2"/>
                <c:pt idx="0">
                  <c:v>84.224631674288489</c:v>
                </c:pt>
                <c:pt idx="1">
                  <c:v>0</c:v>
                </c:pt>
              </c:numCache>
            </c:numRef>
          </c:xVal>
          <c:yVal>
            <c:numRef>
              <c:f>'QMC Gradation'!$P$16:$P$17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32-454E-BF85-59E68F3B9AAC}"/>
            </c:ext>
          </c:extLst>
        </c:ser>
        <c:ser>
          <c:idx val="0"/>
          <c:order val="1"/>
          <c:spPr>
            <a:ln w="381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'QMC Gradation'!$N$4:$N$15</c:f>
              <c:numCache>
                <c:formatCode>General</c:formatCode>
                <c:ptCount val="12"/>
                <c:pt idx="0">
                  <c:v>6.9787488376816533</c:v>
                </c:pt>
                <c:pt idx="1">
                  <c:v>9.533251854051084</c:v>
                </c:pt>
                <c:pt idx="2">
                  <c:v>13.02280581041226</c:v>
                </c:pt>
                <c:pt idx="3">
                  <c:v>17.789676992918196</c:v>
                </c:pt>
                <c:pt idx="4">
                  <c:v>24.11831168315992</c:v>
                </c:pt>
                <c:pt idx="5">
                  <c:v>32.946584684146316</c:v>
                </c:pt>
                <c:pt idx="6">
                  <c:v>45.134862560198059</c:v>
                </c:pt>
                <c:pt idx="7">
                  <c:v>61.656039240307337</c:v>
                </c:pt>
                <c:pt idx="8">
                  <c:v>69.760487336687731</c:v>
                </c:pt>
                <c:pt idx="9">
                  <c:v>84.224631674288489</c:v>
                </c:pt>
                <c:pt idx="10">
                  <c:v>95.295634032720628</c:v>
                </c:pt>
                <c:pt idx="11">
                  <c:v>114.37051336098466</c:v>
                </c:pt>
              </c:numCache>
            </c:numRef>
          </c:xVal>
          <c:yVal>
            <c:numRef>
              <c:f>'QMC Gradation'!$O$4:$O$15</c:f>
              <c:numCache>
                <c:formatCode>0.00_)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32-454E-BF85-59E68F3B9AAC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'QMC Gradation'!$O$18:$O$19</c:f>
              <c:numCache>
                <c:formatCode>General</c:formatCode>
                <c:ptCount val="2"/>
                <c:pt idx="0">
                  <c:v>95.295634032720628</c:v>
                </c:pt>
                <c:pt idx="1">
                  <c:v>0</c:v>
                </c:pt>
              </c:numCache>
            </c:numRef>
          </c:xVal>
          <c:yVal>
            <c:numRef>
              <c:f>'QMC Gradation'!$P$18:$P$19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932-454E-BF85-59E68F3B9AAC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'QMC Gradation'!$O$20:$O$21</c:f>
              <c:numCache>
                <c:formatCode>General</c:formatCode>
                <c:ptCount val="2"/>
                <c:pt idx="0">
                  <c:v>114.37051336098466</c:v>
                </c:pt>
                <c:pt idx="1">
                  <c:v>0</c:v>
                </c:pt>
              </c:numCache>
            </c:numRef>
          </c:xVal>
          <c:yVal>
            <c:numRef>
              <c:f>'QMC Gradation'!$P$20:$P$21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932-454E-BF85-59E68F3B9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291712"/>
        <c:axId val="161807144"/>
      </c:scatterChart>
      <c:valAx>
        <c:axId val="288291712"/>
        <c:scaling>
          <c:orientation val="minMax"/>
          <c:max val="114.37050000000001"/>
          <c:min val="0"/>
        </c:scaling>
        <c:delete val="1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Sieve Size</a:t>
                </a:r>
              </a:p>
            </c:rich>
          </c:tx>
          <c:layout>
            <c:manualLayout>
              <c:xMode val="edge"/>
              <c:yMode val="edge"/>
              <c:x val="0.45227475468331846"/>
              <c:y val="0.950261780104712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61807144"/>
        <c:crosses val="autoZero"/>
        <c:crossBetween val="midCat"/>
      </c:valAx>
      <c:valAx>
        <c:axId val="16180714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 Passing</a:t>
                </a:r>
              </a:p>
            </c:rich>
          </c:tx>
          <c:layout>
            <c:manualLayout>
              <c:xMode val="edge"/>
              <c:yMode val="edge"/>
              <c:x val="8.0285459411239962E-3"/>
              <c:y val="0.431937172774869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8291712"/>
        <c:crossesAt val="0"/>
        <c:crossBetween val="midCat"/>
        <c:minorUnit val="5"/>
      </c:valAx>
      <c:spPr>
        <a:noFill/>
        <a:ln w="254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12700"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Workability Factor VS Coarseness Factor </a:t>
            </a:r>
          </a:p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for Combined Aggregate</a:t>
            </a:r>
          </a:p>
        </c:rich>
      </c:tx>
      <c:layout>
        <c:manualLayout>
          <c:xMode val="edge"/>
          <c:yMode val="edge"/>
          <c:x val="0.28991971454058874"/>
          <c:y val="1.96335078534031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69496463918919"/>
          <c:y val="0.16711433427218464"/>
          <c:w val="0.87154326494201606"/>
          <c:h val="0.66884816753926735"/>
        </c:manualLayout>
      </c:layout>
      <c:scatterChart>
        <c:scatterStyle val="lineMarker"/>
        <c:varyColors val="0"/>
        <c:ser>
          <c:idx val="0"/>
          <c:order val="0"/>
          <c:spPr>
            <a:ln w="3175">
              <a:solidFill>
                <a:srgbClr val="000000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'QMC Gradation'!$L$20</c:f>
              <c:numCache>
                <c:formatCode>0.00_)</c:formatCode>
                <c:ptCount val="1"/>
                <c:pt idx="0">
                  <c:v>100</c:v>
                </c:pt>
              </c:numCache>
            </c:numRef>
          </c:xVal>
          <c:yVal>
            <c:numRef>
              <c:f>'QMC Gradation'!$M$20</c:f>
              <c:numCache>
                <c:formatCode>0.00_)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28-49DA-857A-0E188AB80438}"/>
            </c:ext>
          </c:extLst>
        </c:ser>
        <c:ser>
          <c:idx val="1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F28-49DA-857A-0E188AB80438}"/>
              </c:ext>
            </c:extLst>
          </c:dPt>
          <c:xVal>
            <c:numRef>
              <c:f>'QMC Gradation'!$L$21:$L$22</c:f>
              <c:numCache>
                <c:formatCode>General</c:formatCode>
                <c:ptCount val="2"/>
                <c:pt idx="0">
                  <c:v>36</c:v>
                </c:pt>
                <c:pt idx="1">
                  <c:v>100</c:v>
                </c:pt>
              </c:numCache>
            </c:numRef>
          </c:xVal>
          <c:yVal>
            <c:numRef>
              <c:f>'QMC Gradation'!$M$21:$M$22</c:f>
              <c:numCache>
                <c:formatCode>General</c:formatCode>
                <c:ptCount val="2"/>
                <c:pt idx="0">
                  <c:v>45</c:v>
                </c:pt>
                <c:pt idx="1">
                  <c:v>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F28-49DA-857A-0E188AB80438}"/>
            </c:ext>
          </c:extLst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'QMC Gradation'!$L$23:$L$24</c:f>
              <c:numCache>
                <c:formatCode>General</c:formatCode>
                <c:ptCount val="2"/>
                <c:pt idx="0">
                  <c:v>45</c:v>
                </c:pt>
                <c:pt idx="1">
                  <c:v>72</c:v>
                </c:pt>
              </c:numCache>
            </c:numRef>
          </c:xVal>
          <c:yVal>
            <c:numRef>
              <c:f>'QMC Gradation'!$N$23:$N$24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F28-49DA-857A-0E188AB80438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x"/>
            <c:size val="5"/>
            <c:spPr>
              <a:noFill/>
              <a:ln w="9525">
                <a:noFill/>
              </a:ln>
            </c:spPr>
          </c:marker>
          <c:xVal>
            <c:numRef>
              <c:f>'QMC Gradation'!$L$23:$L$24</c:f>
              <c:numCache>
                <c:formatCode>General</c:formatCode>
                <c:ptCount val="2"/>
                <c:pt idx="0">
                  <c:v>45</c:v>
                </c:pt>
                <c:pt idx="1">
                  <c:v>72</c:v>
                </c:pt>
              </c:numCache>
            </c:numRef>
          </c:xVal>
          <c:yVal>
            <c:numRef>
              <c:f>'QMC Gradation'!$M$23:$M$24</c:f>
              <c:numCache>
                <c:formatCode>General</c:formatCode>
                <c:ptCount val="2"/>
                <c:pt idx="0">
                  <c:v>38.6</c:v>
                </c:pt>
                <c:pt idx="1">
                  <c:v>34.805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F28-49DA-857A-0E188AB80438}"/>
            </c:ext>
          </c:extLst>
        </c:ser>
        <c:ser>
          <c:idx val="4"/>
          <c:order val="4"/>
          <c:spPr>
            <a:ln w="28575">
              <a:noFill/>
            </a:ln>
          </c:spPr>
          <c:marker>
            <c:symbol val="star"/>
            <c:size val="5"/>
            <c:spPr>
              <a:noFill/>
              <a:ln w="9525">
                <a:noFill/>
              </a:ln>
            </c:spPr>
          </c:marker>
          <c:xVal>
            <c:numRef>
              <c:f>'QMC Gradation'!$L$25:$L$26</c:f>
              <c:numCache>
                <c:formatCode>General</c:formatCode>
                <c:ptCount val="2"/>
                <c:pt idx="0">
                  <c:v>45</c:v>
                </c:pt>
                <c:pt idx="1">
                  <c:v>75</c:v>
                </c:pt>
              </c:numCache>
            </c:numRef>
          </c:xVal>
          <c:yVal>
            <c:numRef>
              <c:f>'QMC Gradation'!$M$25:$M$26</c:f>
              <c:numCache>
                <c:formatCode>General</c:formatCode>
                <c:ptCount val="2"/>
                <c:pt idx="0">
                  <c:v>37.1</c:v>
                </c:pt>
                <c:pt idx="1">
                  <c:v>32.880000000000003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F28-49DA-857A-0E188AB80438}"/>
            </c:ext>
          </c:extLst>
        </c:ser>
        <c:ser>
          <c:idx val="5"/>
          <c:order val="5"/>
          <c:spPr>
            <a:ln w="28575">
              <a:noFill/>
            </a:ln>
          </c:spPr>
          <c:marker>
            <c:symbol val="circle"/>
            <c:size val="5"/>
            <c:spPr>
              <a:noFill/>
              <a:ln w="9525">
                <a:noFill/>
              </a:ln>
            </c:spPr>
          </c:marker>
          <c:xVal>
            <c:numRef>
              <c:f>'QMC Gradation'!$L$27:$L$28</c:f>
              <c:numCache>
                <c:formatCode>General</c:formatCode>
                <c:ptCount val="2"/>
                <c:pt idx="0">
                  <c:v>45</c:v>
                </c:pt>
                <c:pt idx="1">
                  <c:v>72</c:v>
                </c:pt>
              </c:numCache>
            </c:numRef>
          </c:xVal>
          <c:yVal>
            <c:numRef>
              <c:f>'QMC Gradation'!$M$27:$M$28</c:f>
              <c:numCache>
                <c:formatCode>General</c:formatCode>
                <c:ptCount val="2"/>
                <c:pt idx="0">
                  <c:v>34.9</c:v>
                </c:pt>
                <c:pt idx="1">
                  <c:v>31.105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F28-49DA-857A-0E188AB80438}"/>
            </c:ext>
          </c:extLst>
        </c:ser>
        <c:ser>
          <c:idx val="6"/>
          <c:order val="6"/>
          <c:spPr>
            <a:ln w="28575">
              <a:noFill/>
            </a:ln>
          </c:spPr>
          <c:marker>
            <c:symbol val="plus"/>
            <c:size val="5"/>
            <c:spPr>
              <a:noFill/>
              <a:ln w="9525">
                <a:noFill/>
              </a:ln>
            </c:spPr>
          </c:marker>
          <c:xVal>
            <c:numRef>
              <c:f>'QMC Gradation'!$L$29:$L$30</c:f>
              <c:numCache>
                <c:formatCode>General</c:formatCode>
                <c:ptCount val="2"/>
                <c:pt idx="0">
                  <c:v>45</c:v>
                </c:pt>
                <c:pt idx="1">
                  <c:v>72</c:v>
                </c:pt>
              </c:numCache>
            </c:numRef>
          </c:xVal>
          <c:yVal>
            <c:numRef>
              <c:f>'QMC Gradation'!$M$29:$M$30</c:f>
              <c:numCache>
                <c:formatCode>General</c:formatCode>
                <c:ptCount val="2"/>
                <c:pt idx="0">
                  <c:v>33.6</c:v>
                </c:pt>
                <c:pt idx="1">
                  <c:v>29.805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F28-49DA-857A-0E188AB80438}"/>
            </c:ext>
          </c:extLst>
        </c:ser>
        <c:ser>
          <c:idx val="10"/>
          <c:order val="7"/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'QMC Gradation'!$L$55:$L$56</c:f>
              <c:numCache>
                <c:formatCode>General</c:formatCode>
                <c:ptCount val="2"/>
                <c:pt idx="0">
                  <c:v>75</c:v>
                </c:pt>
                <c:pt idx="1">
                  <c:v>75</c:v>
                </c:pt>
              </c:numCache>
            </c:numRef>
          </c:xVal>
          <c:yVal>
            <c:numRef>
              <c:f>'QMC Gradation'!$M$55:$M$56</c:f>
              <c:numCache>
                <c:formatCode>General</c:formatCode>
                <c:ptCount val="2"/>
                <c:pt idx="0">
                  <c:v>28.15</c:v>
                </c:pt>
                <c:pt idx="1">
                  <c:v>39.51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F28-49DA-857A-0E188AB80438}"/>
            </c:ext>
          </c:extLst>
        </c:ser>
        <c:ser>
          <c:idx val="11"/>
          <c:order val="8"/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'QMC Gradation'!$L$57:$L$58</c:f>
              <c:numCache>
                <c:formatCode>General</c:formatCode>
                <c:ptCount val="2"/>
                <c:pt idx="0">
                  <c:v>45</c:v>
                </c:pt>
                <c:pt idx="1">
                  <c:v>45</c:v>
                </c:pt>
              </c:numCache>
            </c:numRef>
          </c:xVal>
          <c:yVal>
            <c:numRef>
              <c:f>'QMC Gradation'!$M$57:$M$58</c:f>
              <c:numCache>
                <c:formatCode>General</c:formatCode>
                <c:ptCount val="2"/>
                <c:pt idx="0">
                  <c:v>43.731875000000002</c:v>
                </c:pt>
                <c:pt idx="1">
                  <c:v>32.5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F28-49DA-857A-0E188AB80438}"/>
            </c:ext>
          </c:extLst>
        </c:ser>
        <c:ser>
          <c:idx val="12"/>
          <c:order val="9"/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'QMC Gradation'!$L$59:$L$60</c:f>
              <c:numCache>
                <c:formatCode>General</c:formatCode>
                <c:ptCount val="2"/>
                <c:pt idx="0">
                  <c:v>30</c:v>
                </c:pt>
                <c:pt idx="1">
                  <c:v>80</c:v>
                </c:pt>
              </c:numCache>
            </c:numRef>
          </c:xVal>
          <c:yVal>
            <c:numRef>
              <c:f>'QMC Gradation'!$M$59:$M$60</c:f>
              <c:numCache>
                <c:formatCode>General</c:formatCode>
                <c:ptCount val="2"/>
                <c:pt idx="0">
                  <c:v>34.5</c:v>
                </c:pt>
                <c:pt idx="1">
                  <c:v>27.5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BF28-49DA-857A-0E188AB80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7760640"/>
        <c:axId val="287761032"/>
      </c:scatterChart>
      <c:valAx>
        <c:axId val="287760640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dashDot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Coarseness Factor
(percent)</a:t>
                </a:r>
              </a:p>
            </c:rich>
          </c:tx>
          <c:layout>
            <c:manualLayout>
              <c:xMode val="edge"/>
              <c:yMode val="edge"/>
              <c:x val="0.45495093666369313"/>
              <c:y val="0.903141361256544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7761032"/>
        <c:crosses val="autoZero"/>
        <c:crossBetween val="midCat"/>
        <c:minorUnit val="2"/>
      </c:valAx>
      <c:valAx>
        <c:axId val="287761032"/>
        <c:scaling>
          <c:orientation val="minMax"/>
          <c:max val="45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Dot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Workability
(percent)</a:t>
                </a:r>
              </a:p>
            </c:rich>
          </c:tx>
          <c:layout>
            <c:manualLayout>
              <c:xMode val="edge"/>
              <c:yMode val="edge"/>
              <c:x val="1.0704727921498661E-2"/>
              <c:y val="0.431937172774869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7760640"/>
        <c:crosses val="autoZero"/>
        <c:crossBetween val="midCat"/>
      </c:valAx>
      <c:spPr>
        <a:noFill/>
        <a:ln w="25400">
          <a:solidFill>
            <a:schemeClr val="tx1"/>
          </a:solidFill>
          <a:prstDash val="solid"/>
        </a:ln>
      </c:spPr>
    </c:plotArea>
    <c:plotVisOnly val="0"/>
    <c:dispBlanksAs val="gap"/>
    <c:showDLblsOverMax val="0"/>
  </c:chart>
  <c:spPr>
    <a:noFill/>
    <a:ln w="12700">
      <a:solidFill>
        <a:schemeClr val="tx1"/>
      </a:solidFill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23E14FD-9DE3-45A7-BB99-53860D35D0E7}">
  <sheetPr codeName="Chart9">
    <tabColor rgb="FFFFC000"/>
  </sheetPr>
  <sheetViews>
    <sheetView workbookViewId="0"/>
  </sheetViews>
  <sheetProtection algorithmName="SHA-512" hashValue="XuzkitPbgccxvfcNZYXLtlHu6/oweUKEnqW7roZbmaoq9s20W1S7wYVGtT3+1zjCqTXwddGxNM2NEC4wxZdomg==" saltValue="2Zr4DrARPaVwfoPmk2vJMg==" spinCount="100000" content="1" objects="1"/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E8D6537-5E58-41FE-A04F-E9F65D599891}">
  <sheetPr codeName="Chart10">
    <tabColor rgb="FFFFC000"/>
  </sheetPr>
  <sheetViews>
    <sheetView workbookViewId="0"/>
  </sheetViews>
  <sheetProtection algorithmName="SHA-512" hashValue="1V82AGlofIs6ubmj2JkHyO4gcjVJWT+P14hLgtwq0HYeo6ZZV0uQo+kU1ThxZRrVgewWiozJA4tJyxQUCcmvqw==" saltValue="7bFTS6VceM3xEoGuwu5abQ==" spinCount="100000" content="1" objects="1"/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7200F88-E20D-4DCC-B29D-971EEF3CA230}">
  <sheetPr codeName="Chart11">
    <tabColor rgb="FFFFC000"/>
  </sheetPr>
  <sheetViews>
    <sheetView zoomScale="125" workbookViewId="0"/>
  </sheetViews>
  <sheetProtection algorithmName="SHA-512" hashValue="g/oRZyUVSI22A4F00VSIEJKWq2vT4AGSFNH5ykvtoswYuWZNpTFgH06TwGfRVTHQ5erPWm4yInnvxEQk9gPrRg==" saltValue="aP//zDpEcdSMYO5KN88itw==" spinCount="100000" content="1" objects="1"/>
  <pageMargins left="0.75" right="0.75" top="1" bottom="1" header="0.5" footer="0.5"/>
  <pageSetup orientation="landscape" horizontalDpi="300" verticalDpi="300" r:id="rId1"/>
  <headerFooter alignWithMargins="0"/>
  <drawing r:id="rId2"/>
</chartsheet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277905</xdr:colOff>
      <xdr:row>9</xdr:row>
      <xdr:rowOff>53787</xdr:rowOff>
    </xdr:from>
    <xdr:to>
      <xdr:col>5</xdr:col>
      <xdr:colOff>448235</xdr:colOff>
      <xdr:row>10</xdr:row>
      <xdr:rowOff>143435</xdr:rowOff>
    </xdr:to>
    <xdr:sp macro="" textlink="">
      <xdr:nvSpPr>
        <xdr:cNvPr id="2" name="Arrow: Bent-Up 1">
          <a:extLst>
            <a:ext uri="{FF2B5EF4-FFF2-40B4-BE49-F238E27FC236}">
              <a16:creationId xmlns:a16="http://schemas.microsoft.com/office/drawing/2014/main" id="{382647AC-E22F-45F9-9B86-73718092646B}"/>
            </a:ext>
          </a:extLst>
        </xdr:cNvPr>
        <xdr:cNvSpPr/>
      </xdr:nvSpPr>
      <xdr:spPr>
        <a:xfrm>
          <a:off x="8184776" y="1801905"/>
          <a:ext cx="170330" cy="277906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933450</xdr:colOff>
      <xdr:row>4</xdr:row>
      <xdr:rowOff>104775</xdr:rowOff>
    </xdr:from>
    <xdr:to>
      <xdr:col>0</xdr:col>
      <xdr:colOff>1400175</xdr:colOff>
      <xdr:row>8</xdr:row>
      <xdr:rowOff>190500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E7C837F7-48F8-4C4A-9A23-1A21DC1A3E43}"/>
            </a:ext>
          </a:extLst>
        </xdr:cNvPr>
        <xdr:cNvCxnSpPr/>
      </xdr:nvCxnSpPr>
      <xdr:spPr>
        <a:xfrm flipH="1" flipV="1">
          <a:off x="933450" y="876300"/>
          <a:ext cx="466725" cy="8477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4</xdr:row>
      <xdr:rowOff>85725</xdr:rowOff>
    </xdr:from>
    <xdr:to>
      <xdr:col>2</xdr:col>
      <xdr:colOff>381000</xdr:colOff>
      <xdr:row>8</xdr:row>
      <xdr:rowOff>180975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57D8EE98-0AD6-419B-957B-A023C9844DD7}"/>
            </a:ext>
          </a:extLst>
        </xdr:cNvPr>
        <xdr:cNvCxnSpPr/>
      </xdr:nvCxnSpPr>
      <xdr:spPr>
        <a:xfrm flipV="1">
          <a:off x="2486025" y="857250"/>
          <a:ext cx="228600" cy="8572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1333500</xdr:colOff>
      <xdr:row>8</xdr:row>
      <xdr:rowOff>57150</xdr:rowOff>
    </xdr:from>
    <xdr:to>
      <xdr:col>2</xdr:col>
      <xdr:colOff>885825</xdr:colOff>
      <xdr:row>12</xdr:row>
      <xdr:rowOff>38100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D1F494F0-1CE6-4CCC-97AE-67676B8F2A59}"/>
            </a:ext>
          </a:extLst>
        </xdr:cNvPr>
        <xdr:cNvSpPr/>
      </xdr:nvSpPr>
      <xdr:spPr>
        <a:xfrm>
          <a:off x="1333500" y="1590675"/>
          <a:ext cx="1885950" cy="914400"/>
        </a:xfrm>
        <a:prstGeom prst="rect">
          <a:avLst/>
        </a:prstGeom>
        <a:solidFill>
          <a:srgbClr val="B7DEE8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ysClr val="windowText" lastClr="000000"/>
              </a:solidFill>
            </a:rPr>
            <a:t>Select On Mix Info Tab</a:t>
          </a:r>
          <a:endParaRPr lang="en-US" sz="4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3B571D-0B44-44A9-9FB3-432159661A2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934A34-B62A-460F-A6F3-BAA6356D853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0.16875</cdr:x>
      <cdr:y>0.1585</cdr:y>
    </cdr:from>
    <cdr:to>
      <cdr:x>0.1715</cdr:x>
      <cdr:y>0.917</cdr:y>
    </cdr:to>
    <cdr:sp macro="" textlink="">
      <cdr:nvSpPr>
        <cdr:cNvPr id="102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56414" y="922736"/>
          <a:ext cx="21355" cy="440264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0.254</cdr:x>
      <cdr:y>0.1585</cdr:y>
    </cdr:from>
    <cdr:to>
      <cdr:x>0.254</cdr:x>
      <cdr:y>0.91625</cdr:y>
    </cdr:to>
    <cdr:sp macro="" textlink="">
      <cdr:nvSpPr>
        <cdr:cNvPr id="102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182486" y="922736"/>
          <a:ext cx="0" cy="43982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0.20625</cdr:x>
      <cdr:y>0.1585</cdr:y>
    </cdr:from>
    <cdr:to>
      <cdr:x>0.20775</cdr:x>
      <cdr:y>0.91625</cdr:y>
    </cdr:to>
    <cdr:sp macro="" textlink="">
      <cdr:nvSpPr>
        <cdr:cNvPr id="102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774605" y="922736"/>
          <a:ext cx="14948" cy="43982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0.3195</cdr:x>
      <cdr:y>0.1585</cdr:y>
    </cdr:from>
    <cdr:to>
      <cdr:x>0.3195</cdr:x>
      <cdr:y>0.91475</cdr:y>
    </cdr:to>
    <cdr:sp macro="" textlink="">
      <cdr:nvSpPr>
        <cdr:cNvPr id="102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741988" y="922736"/>
          <a:ext cx="0" cy="438954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0.536</cdr:x>
      <cdr:y>0.1585</cdr:y>
    </cdr:from>
    <cdr:to>
      <cdr:x>0.53675</cdr:x>
      <cdr:y>0.91625</cdr:y>
    </cdr:to>
    <cdr:sp macro="" textlink="">
      <cdr:nvSpPr>
        <cdr:cNvPr id="102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589200" y="922736"/>
          <a:ext cx="6407" cy="43982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0.59375</cdr:x>
      <cdr:y>0.1585</cdr:y>
    </cdr:from>
    <cdr:to>
      <cdr:x>0.59375</cdr:x>
      <cdr:y>0.917</cdr:y>
    </cdr:to>
    <cdr:sp macro="" textlink="">
      <cdr:nvSpPr>
        <cdr:cNvPr id="103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082502" y="922736"/>
          <a:ext cx="0" cy="440264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0.78475</cdr:x>
      <cdr:y>0.1585</cdr:y>
    </cdr:from>
    <cdr:to>
      <cdr:x>0.78475</cdr:x>
      <cdr:y>0.91625</cdr:y>
    </cdr:to>
    <cdr:sp macro="" textlink="">
      <cdr:nvSpPr>
        <cdr:cNvPr id="103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711892" y="922736"/>
          <a:ext cx="0" cy="43982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0.92925</cdr:x>
      <cdr:y>0.1585</cdr:y>
    </cdr:from>
    <cdr:to>
      <cdr:x>0.9305</cdr:x>
      <cdr:y>0.91625</cdr:y>
    </cdr:to>
    <cdr:sp macro="" textlink="">
      <cdr:nvSpPr>
        <cdr:cNvPr id="103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933401" y="922736"/>
          <a:ext cx="10678" cy="43982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0.91025</cdr:x>
      <cdr:y>0.9375</cdr:y>
    </cdr:from>
    <cdr:to>
      <cdr:x>0.96925</cdr:x>
      <cdr:y>0.97225</cdr:y>
    </cdr:to>
    <cdr:sp macro="" textlink="">
      <cdr:nvSpPr>
        <cdr:cNvPr id="1034" name="Text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73238" y="5449092"/>
          <a:ext cx="503979" cy="205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 1/2</a:t>
          </a:r>
        </a:p>
        <a:p xmlns:a="http://schemas.openxmlformats.org/drawingml/2006/main"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0.77875</cdr:x>
      <cdr:y>0.931</cdr:y>
    </cdr:from>
    <cdr:to>
      <cdr:x>0.80425</cdr:x>
      <cdr:y>0.97225</cdr:y>
    </cdr:to>
    <cdr:sp macro="" textlink="">
      <cdr:nvSpPr>
        <cdr:cNvPr id="1035" name="Text 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52098" y="5409796"/>
          <a:ext cx="219957" cy="2445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cdr:txBody>
    </cdr:sp>
  </cdr:relSizeAnchor>
  <cdr:relSizeAnchor xmlns:cdr="http://schemas.openxmlformats.org/drawingml/2006/chartDrawing">
    <cdr:from>
      <cdr:x>0.6915</cdr:x>
      <cdr:y>0.9335</cdr:y>
    </cdr:from>
    <cdr:to>
      <cdr:x>0.7315</cdr:x>
      <cdr:y>0.97</cdr:y>
    </cdr:to>
    <cdr:sp macro="" textlink="">
      <cdr:nvSpPr>
        <cdr:cNvPr id="1036" name="Text 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04671" y="5421440"/>
          <a:ext cx="335275" cy="2212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3/4</a:t>
          </a:r>
        </a:p>
      </cdr:txBody>
    </cdr:sp>
  </cdr:relSizeAnchor>
  <cdr:relSizeAnchor xmlns:cdr="http://schemas.openxmlformats.org/drawingml/2006/chartDrawing">
    <cdr:from>
      <cdr:x>0.581</cdr:x>
      <cdr:y>0.931</cdr:y>
    </cdr:from>
    <cdr:to>
      <cdr:x>0.6205</cdr:x>
      <cdr:y>0.964</cdr:y>
    </cdr:to>
    <cdr:sp macro="" textlink="">
      <cdr:nvSpPr>
        <cdr:cNvPr id="1037" name="Text 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73591" y="5409796"/>
          <a:ext cx="335274" cy="1979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1/2</a:t>
          </a:r>
        </a:p>
      </cdr:txBody>
    </cdr:sp>
  </cdr:relSizeAnchor>
  <cdr:relSizeAnchor xmlns:cdr="http://schemas.openxmlformats.org/drawingml/2006/chartDrawing">
    <cdr:from>
      <cdr:x>0.524</cdr:x>
      <cdr:y>0.932</cdr:y>
    </cdr:from>
    <cdr:to>
      <cdr:x>0.581</cdr:x>
      <cdr:y>0.965</cdr:y>
    </cdr:to>
    <cdr:sp macro="" textlink="">
      <cdr:nvSpPr>
        <cdr:cNvPr id="1038" name="Text 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6696" y="5415618"/>
          <a:ext cx="486895" cy="1979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3/8</a:t>
          </a:r>
        </a:p>
      </cdr:txBody>
    </cdr:sp>
  </cdr:relSizeAnchor>
  <cdr:relSizeAnchor xmlns:cdr="http://schemas.openxmlformats.org/drawingml/2006/chartDrawing">
    <cdr:from>
      <cdr:x>0.39775</cdr:x>
      <cdr:y>0.9345</cdr:y>
    </cdr:from>
    <cdr:to>
      <cdr:x>0.432</cdr:x>
      <cdr:y>0.96775</cdr:y>
    </cdr:to>
    <cdr:sp macro="" textlink="">
      <cdr:nvSpPr>
        <cdr:cNvPr id="1039" name="Text 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10401" y="5431627"/>
          <a:ext cx="290429" cy="1979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#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cdr:txBody>
    </cdr:sp>
  </cdr:relSizeAnchor>
  <cdr:relSizeAnchor xmlns:cdr="http://schemas.openxmlformats.org/drawingml/2006/chartDrawing">
    <cdr:from>
      <cdr:x>0.312</cdr:x>
      <cdr:y>0.9345</cdr:y>
    </cdr:from>
    <cdr:to>
      <cdr:x>0.35225</cdr:x>
      <cdr:y>0.969</cdr:y>
    </cdr:to>
    <cdr:sp macro="" textlink="">
      <cdr:nvSpPr>
        <cdr:cNvPr id="1040" name="Text 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7923" y="5431627"/>
          <a:ext cx="343817" cy="205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#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</a:p>
      </cdr:txBody>
    </cdr:sp>
  </cdr:relSizeAnchor>
  <cdr:relSizeAnchor xmlns:cdr="http://schemas.openxmlformats.org/drawingml/2006/chartDrawing">
    <cdr:from>
      <cdr:x>0.24275</cdr:x>
      <cdr:y>0.93675</cdr:y>
    </cdr:from>
    <cdr:to>
      <cdr:x>0.2875</cdr:x>
      <cdr:y>0.97625</cdr:y>
    </cdr:to>
    <cdr:sp macro="" textlink="">
      <cdr:nvSpPr>
        <cdr:cNvPr id="1041" name="Text 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88524" y="5443271"/>
          <a:ext cx="380120" cy="235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#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16</a:t>
          </a:r>
        </a:p>
      </cdr:txBody>
    </cdr:sp>
  </cdr:relSizeAnchor>
  <cdr:relSizeAnchor xmlns:cdr="http://schemas.openxmlformats.org/drawingml/2006/chartDrawing">
    <cdr:from>
      <cdr:x>0.19875</cdr:x>
      <cdr:y>0.93675</cdr:y>
    </cdr:from>
    <cdr:to>
      <cdr:x>0.243</cdr:x>
      <cdr:y>0.97625</cdr:y>
    </cdr:to>
    <cdr:sp macro="" textlink="">
      <cdr:nvSpPr>
        <cdr:cNvPr id="1042" name="Text 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540" y="5443271"/>
          <a:ext cx="380119" cy="235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#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30</a:t>
          </a:r>
        </a:p>
      </cdr:txBody>
    </cdr:sp>
  </cdr:relSizeAnchor>
  <cdr:relSizeAnchor xmlns:cdr="http://schemas.openxmlformats.org/drawingml/2006/chartDrawing">
    <cdr:from>
      <cdr:x>0.16725</cdr:x>
      <cdr:y>0.93425</cdr:y>
    </cdr:from>
    <cdr:to>
      <cdr:x>0.201</cdr:x>
      <cdr:y>0.965</cdr:y>
    </cdr:to>
    <cdr:sp macro="" textlink="">
      <cdr:nvSpPr>
        <cdr:cNvPr id="1043" name="Text 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1466" y="5428717"/>
          <a:ext cx="290429" cy="1833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#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50</a:t>
          </a:r>
        </a:p>
      </cdr:txBody>
    </cdr:sp>
  </cdr:relSizeAnchor>
  <cdr:relSizeAnchor xmlns:cdr="http://schemas.openxmlformats.org/drawingml/2006/chartDrawing">
    <cdr:from>
      <cdr:x>0.127</cdr:x>
      <cdr:y>0.93425</cdr:y>
    </cdr:from>
    <cdr:to>
      <cdr:x>0.1755</cdr:x>
      <cdr:y>0.988</cdr:y>
    </cdr:to>
    <cdr:sp macro="" textlink="">
      <cdr:nvSpPr>
        <cdr:cNvPr id="1044" name="Text 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9785" y="5428717"/>
          <a:ext cx="412153" cy="3201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#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100</a:t>
          </a:r>
        </a:p>
      </cdr:txBody>
    </cdr:sp>
  </cdr:relSizeAnchor>
  <cdr:relSizeAnchor xmlns:cdr="http://schemas.openxmlformats.org/drawingml/2006/chartDrawing">
    <cdr:from>
      <cdr:x>0.22125</cdr:x>
      <cdr:y>0.0505</cdr:y>
    </cdr:from>
    <cdr:to>
      <cdr:x>0.83425</cdr:x>
      <cdr:y>0.10425</cdr:y>
    </cdr:to>
    <cdr:sp macro="" textlink="">
      <cdr:nvSpPr>
        <cdr:cNvPr id="1045" name="Text 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98464" y="293995"/>
          <a:ext cx="5219174" cy="3129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54864" tIns="4114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Combined Aggregate Gradation Power 45 Scale</a:t>
          </a:r>
        </a:p>
      </cdr:txBody>
    </cdr:sp>
  </cdr:relSizeAnchor>
  <cdr:relSizeAnchor xmlns:cdr="http://schemas.openxmlformats.org/drawingml/2006/chartDrawing">
    <cdr:from>
      <cdr:x>0.14425</cdr:x>
      <cdr:y>0.1585</cdr:y>
    </cdr:from>
    <cdr:to>
      <cdr:x>0.14575</cdr:x>
      <cdr:y>0.91625</cdr:y>
    </cdr:to>
    <cdr:sp macro="" textlink="">
      <cdr:nvSpPr>
        <cdr:cNvPr id="1051" name="Line 2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244999" y="922736"/>
          <a:ext cx="14949" cy="43982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0.092</cdr:x>
      <cdr:y>0.93425</cdr:y>
    </cdr:from>
    <cdr:to>
      <cdr:x>0.13425</cdr:x>
      <cdr:y>0.97375</cdr:y>
    </cdr:to>
    <cdr:sp macro="" textlink="">
      <cdr:nvSpPr>
        <cdr:cNvPr id="1055" name="Text 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0814" y="5428717"/>
          <a:ext cx="358765" cy="235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#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200</a:t>
          </a:r>
        </a:p>
      </cdr:txBody>
    </cdr:sp>
  </cdr:relSizeAnchor>
  <cdr:relSizeAnchor xmlns:cdr="http://schemas.openxmlformats.org/drawingml/2006/chartDrawing">
    <cdr:from>
      <cdr:x>0.126</cdr:x>
      <cdr:y>0.1585</cdr:y>
    </cdr:from>
    <cdr:to>
      <cdr:x>0.127</cdr:x>
      <cdr:y>0.91625</cdr:y>
    </cdr:to>
    <cdr:sp macro="" textlink="">
      <cdr:nvSpPr>
        <cdr:cNvPr id="1062" name="Line 3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091243" y="922736"/>
          <a:ext cx="8542" cy="43982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0.40925</cdr:x>
      <cdr:y>0.1585</cdr:y>
    </cdr:from>
    <cdr:to>
      <cdr:x>0.40925</cdr:x>
      <cdr:y>0.91475</cdr:y>
    </cdr:to>
    <cdr:sp macro="" textlink="">
      <cdr:nvSpPr>
        <cdr:cNvPr id="1069" name="Line 4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506499" y="922736"/>
          <a:ext cx="0" cy="438954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0.703</cdr:x>
      <cdr:y>0.159</cdr:y>
    </cdr:from>
    <cdr:to>
      <cdr:x>0.70475</cdr:x>
      <cdr:y>0.91625</cdr:y>
    </cdr:to>
    <cdr:sp macro="" textlink="">
      <cdr:nvSpPr>
        <cdr:cNvPr id="1070" name="Line 4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013582" y="925647"/>
          <a:ext cx="14949" cy="439536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80120" cy="58369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77DF84-D6F7-40B5-9024-7925D3E0B5A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0.0985</cdr:x>
      <cdr:y>0.3955</cdr:y>
    </cdr:from>
    <cdr:to>
      <cdr:x>0.97925</cdr:x>
      <cdr:y>0.721</cdr:y>
    </cdr:to>
    <cdr:grpSp>
      <cdr:nvGrpSpPr>
        <cdr:cNvPr id="26" name="Group 1">
          <a:extLst xmlns:a="http://schemas.openxmlformats.org/drawingml/2006/main">
            <a:ext uri="{FF2B5EF4-FFF2-40B4-BE49-F238E27FC236}">
              <a16:creationId xmlns:a16="http://schemas.microsoft.com/office/drawing/2014/main" id="{E64A8493-DC21-4F8A-AE8C-AB826CAC6D18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845142" y="2308502"/>
          <a:ext cx="7556941" cy="1899917"/>
          <a:chOff x="865823" y="2225335"/>
          <a:chExt cx="7443073" cy="1909096"/>
        </a:xfrm>
      </cdr:grpSpPr>
      <cdr:sp macro="" textlink="">
        <cdr:nvSpPr>
          <cdr:cNvPr id="2050" name="Rectangle 2" descr="20%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65823" y="2225335"/>
            <a:ext cx="756523" cy="308953"/>
          </a:xfrm>
          <a:prstGeom xmlns:a="http://schemas.openxmlformats.org/drawingml/2006/main" prst="rect">
            <a:avLst/>
          </a:prstGeom>
          <a:pattFill xmlns:a="http://schemas.openxmlformats.org/drawingml/2006/main" prst="pct25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51" name="Freeform 3" descr="20%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1622346" y="2225335"/>
            <a:ext cx="1082278" cy="508607"/>
          </a:xfrm>
          <a:custGeom xmlns:a="http://schemas.openxmlformats.org/drawingml/2006/main">
            <a:avLst/>
            <a:gdLst/>
            <a:ahLst/>
            <a:cxnLst>
              <a:cxn ang="0">
                <a:pos x="0" y="0"/>
              </a:cxn>
              <a:cxn ang="0">
                <a:pos x="314500" y="28598"/>
              </a:cxn>
              <a:cxn ang="0">
                <a:pos x="600409" y="61963"/>
              </a:cxn>
              <a:cxn ang="0">
                <a:pos x="667122" y="81029"/>
              </a:cxn>
              <a:cxn ang="0">
                <a:pos x="767190" y="104861"/>
              </a:cxn>
              <a:cxn ang="0">
                <a:pos x="914910" y="142992"/>
              </a:cxn>
              <a:cxn ang="0">
                <a:pos x="991152" y="176356"/>
              </a:cxn>
              <a:cxn ang="0">
                <a:pos x="1048334" y="200188"/>
              </a:cxn>
              <a:cxn ang="0">
                <a:pos x="1053099" y="510004"/>
              </a:cxn>
              <a:cxn ang="0">
                <a:pos x="957796" y="476639"/>
              </a:cxn>
              <a:cxn ang="0">
                <a:pos x="848197" y="438508"/>
              </a:cxn>
              <a:cxn ang="0">
                <a:pos x="729069" y="405143"/>
              </a:cxn>
              <a:cxn ang="0">
                <a:pos x="428864" y="352713"/>
              </a:cxn>
              <a:cxn ang="0">
                <a:pos x="0" y="314582"/>
              </a:cxn>
              <a:cxn ang="0">
                <a:pos x="0" y="0"/>
              </a:cxn>
            </a:cxnLst>
            <a:rect l="0" t="0" r="r" b="b"/>
            <a:pathLst>
              <a:path w="1053099" h="510004">
                <a:moveTo>
                  <a:pt x="0" y="0"/>
                </a:moveTo>
                <a:lnTo>
                  <a:pt x="314500" y="28598"/>
                </a:lnTo>
                <a:lnTo>
                  <a:pt x="600409" y="61963"/>
                </a:lnTo>
                <a:lnTo>
                  <a:pt x="667122" y="81029"/>
                </a:lnTo>
                <a:lnTo>
                  <a:pt x="767190" y="104861"/>
                </a:lnTo>
                <a:lnTo>
                  <a:pt x="914910" y="142992"/>
                </a:lnTo>
                <a:lnTo>
                  <a:pt x="991152" y="176356"/>
                </a:lnTo>
                <a:lnTo>
                  <a:pt x="1048334" y="200188"/>
                </a:lnTo>
                <a:lnTo>
                  <a:pt x="1053099" y="510004"/>
                </a:lnTo>
                <a:lnTo>
                  <a:pt x="957796" y="476639"/>
                </a:lnTo>
                <a:lnTo>
                  <a:pt x="848197" y="438508"/>
                </a:lnTo>
                <a:lnTo>
                  <a:pt x="729069" y="405143"/>
                </a:lnTo>
                <a:lnTo>
                  <a:pt x="428864" y="352713"/>
                </a:lnTo>
                <a:lnTo>
                  <a:pt x="0" y="314582"/>
                </a:lnTo>
                <a:lnTo>
                  <a:pt x="0" y="0"/>
                </a:lnTo>
                <a:close/>
              </a:path>
            </a:pathLst>
          </a:custGeom>
          <a:pattFill xmlns:a="http://schemas.openxmlformats.org/drawingml/2006/main" prst="pct25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 cap="flat" cmpd="sng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52" name="AutoShape 4" descr="20%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 rot="-17018877">
            <a:off x="5662093" y="3214302"/>
            <a:ext cx="805901" cy="745808"/>
          </a:xfrm>
          <a:prstGeom xmlns:a="http://schemas.openxmlformats.org/drawingml/2006/main" prst="parallelogram">
            <a:avLst>
              <a:gd name="adj" fmla="val 58736"/>
            </a:avLst>
          </a:prstGeom>
          <a:pattFill xmlns:a="http://schemas.openxmlformats.org/drawingml/2006/main" prst="pct25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53" name="AutoShape 5" descr="20%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 rot="-17085593">
            <a:off x="4885039" y="2996774"/>
            <a:ext cx="786956" cy="707232"/>
          </a:xfrm>
          <a:prstGeom xmlns:a="http://schemas.openxmlformats.org/drawingml/2006/main" prst="parallelogram">
            <a:avLst>
              <a:gd name="adj" fmla="val 60484"/>
            </a:avLst>
          </a:prstGeom>
          <a:pattFill xmlns:a="http://schemas.openxmlformats.org/drawingml/2006/main" prst="pct25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54" name="AutoShape 6" descr="20%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 rot="-17148673">
            <a:off x="3425014" y="2602568"/>
            <a:ext cx="770925" cy="634365"/>
          </a:xfrm>
          <a:prstGeom xmlns:a="http://schemas.openxmlformats.org/drawingml/2006/main" prst="parallelogram">
            <a:avLst>
              <a:gd name="adj" fmla="val 66058"/>
            </a:avLst>
          </a:prstGeom>
          <a:pattFill xmlns:a="http://schemas.openxmlformats.org/drawingml/2006/main" prst="pct25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55" name="AutoShape 7" descr="20%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 rot="-16966154">
            <a:off x="2677663" y="2330992"/>
            <a:ext cx="782583" cy="728662"/>
          </a:xfrm>
          <a:prstGeom xmlns:a="http://schemas.openxmlformats.org/drawingml/2006/main" prst="parallelogram">
            <a:avLst>
              <a:gd name="adj" fmla="val 58379"/>
            </a:avLst>
          </a:prstGeom>
          <a:pattFill xmlns:a="http://schemas.openxmlformats.org/drawingml/2006/main" prst="pct25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56" name="AutoShape 8" descr="20%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 rot="-17085593">
            <a:off x="4095298" y="2766303"/>
            <a:ext cx="786955" cy="722233"/>
          </a:xfrm>
          <a:prstGeom xmlns:a="http://schemas.openxmlformats.org/drawingml/2006/main" prst="parallelogram">
            <a:avLst>
              <a:gd name="adj" fmla="val 59228"/>
            </a:avLst>
          </a:prstGeom>
          <a:pattFill xmlns:a="http://schemas.openxmlformats.org/drawingml/2006/main" prst="pct25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57" name="Rectangle 9" descr="20%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578090" y="3793417"/>
            <a:ext cx="730806" cy="317697"/>
          </a:xfrm>
          <a:prstGeom xmlns:a="http://schemas.openxmlformats.org/drawingml/2006/main" prst="rect">
            <a:avLst/>
          </a:prstGeom>
          <a:pattFill xmlns:a="http://schemas.openxmlformats.org/drawingml/2006/main" prst="pct25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58" name="Freeform 10" descr="20%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6431518" y="3535470"/>
            <a:ext cx="550783" cy="543583"/>
          </a:xfrm>
          <a:custGeom xmlns:a="http://schemas.openxmlformats.org/drawingml/2006/main">
            <a:avLst/>
            <a:gdLst/>
            <a:ahLst/>
            <a:cxnLst>
              <a:cxn ang="0">
                <a:pos x="0" y="0"/>
              </a:cxn>
              <a:cxn ang="0">
                <a:pos x="162015" y="52431"/>
              </a:cxn>
              <a:cxn ang="0">
                <a:pos x="300204" y="100094"/>
              </a:cxn>
              <a:cxn ang="0">
                <a:pos x="448268" y="167566"/>
              </a:cxn>
              <a:cxn ang="0">
                <a:pos x="552757" y="209856"/>
              </a:cxn>
              <a:cxn ang="0">
                <a:pos x="544071" y="538602"/>
              </a:cxn>
              <a:cxn ang="0">
                <a:pos x="445506" y="501475"/>
              </a:cxn>
              <a:cxn ang="0">
                <a:pos x="373901" y="469876"/>
              </a:cxn>
              <a:cxn ang="0">
                <a:pos x="269413" y="427585"/>
              </a:cxn>
              <a:cxn ang="0">
                <a:pos x="147720" y="381311"/>
              </a:cxn>
              <a:cxn ang="0">
                <a:pos x="47647" y="324101"/>
              </a:cxn>
              <a:cxn ang="0">
                <a:pos x="0" y="0"/>
              </a:cxn>
            </a:cxnLst>
            <a:rect l="0" t="0" r="r" b="b"/>
            <a:pathLst>
              <a:path w="552757" h="538602">
                <a:moveTo>
                  <a:pt x="0" y="0"/>
                </a:moveTo>
                <a:lnTo>
                  <a:pt x="162015" y="52431"/>
                </a:lnTo>
                <a:lnTo>
                  <a:pt x="300204" y="100094"/>
                </a:lnTo>
                <a:lnTo>
                  <a:pt x="448268" y="167566"/>
                </a:lnTo>
                <a:lnTo>
                  <a:pt x="552757" y="209856"/>
                </a:lnTo>
                <a:lnTo>
                  <a:pt x="544071" y="538602"/>
                </a:lnTo>
                <a:lnTo>
                  <a:pt x="445506" y="501475"/>
                </a:lnTo>
                <a:lnTo>
                  <a:pt x="373901" y="469876"/>
                </a:lnTo>
                <a:lnTo>
                  <a:pt x="269413" y="427585"/>
                </a:lnTo>
                <a:lnTo>
                  <a:pt x="147720" y="381311"/>
                </a:lnTo>
                <a:lnTo>
                  <a:pt x="47647" y="324101"/>
                </a:lnTo>
                <a:lnTo>
                  <a:pt x="0" y="0"/>
                </a:lnTo>
                <a:close/>
              </a:path>
            </a:pathLst>
          </a:custGeom>
          <a:pattFill xmlns:a="http://schemas.openxmlformats.org/drawingml/2006/main" prst="pct25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 cap="flat" cmpd="sng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59" name="Freeform 11" descr="20%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6930866" y="3723465"/>
            <a:ext cx="647224" cy="410966"/>
          </a:xfrm>
          <a:custGeom xmlns:a="http://schemas.openxmlformats.org/drawingml/2006/main">
            <a:avLst/>
            <a:gdLst/>
            <a:ahLst/>
            <a:cxnLst>
              <a:cxn ang="0">
                <a:pos x="0" y="0"/>
              </a:cxn>
              <a:cxn ang="0">
                <a:pos x="150060" y="30969"/>
              </a:cxn>
              <a:cxn ang="0">
                <a:pos x="278683" y="47645"/>
              </a:cxn>
              <a:cxn ang="0">
                <a:pos x="540693" y="69085"/>
              </a:cxn>
              <a:cxn ang="0">
                <a:pos x="676462" y="69085"/>
              </a:cxn>
              <a:cxn ang="0">
                <a:pos x="676462" y="383538"/>
              </a:cxn>
              <a:cxn ang="0">
                <a:pos x="421598" y="366862"/>
              </a:cxn>
              <a:cxn ang="0">
                <a:pos x="247718" y="352569"/>
              </a:cxn>
              <a:cxn ang="0">
                <a:pos x="102422" y="333511"/>
              </a:cxn>
              <a:cxn ang="0">
                <a:pos x="0" y="309689"/>
              </a:cxn>
              <a:cxn ang="0">
                <a:pos x="0" y="0"/>
              </a:cxn>
            </a:cxnLst>
            <a:rect l="0" t="0" r="r" b="b"/>
            <a:pathLst>
              <a:path w="676462" h="383538">
                <a:moveTo>
                  <a:pt x="0" y="0"/>
                </a:moveTo>
                <a:lnTo>
                  <a:pt x="150060" y="30969"/>
                </a:lnTo>
                <a:lnTo>
                  <a:pt x="278683" y="47645"/>
                </a:lnTo>
                <a:lnTo>
                  <a:pt x="540693" y="69085"/>
                </a:lnTo>
                <a:lnTo>
                  <a:pt x="676462" y="69085"/>
                </a:lnTo>
                <a:lnTo>
                  <a:pt x="676462" y="383538"/>
                </a:lnTo>
                <a:lnTo>
                  <a:pt x="421598" y="366862"/>
                </a:lnTo>
                <a:lnTo>
                  <a:pt x="247718" y="352569"/>
                </a:lnTo>
                <a:lnTo>
                  <a:pt x="102422" y="333511"/>
                </a:lnTo>
                <a:lnTo>
                  <a:pt x="0" y="309689"/>
                </a:lnTo>
                <a:lnTo>
                  <a:pt x="0" y="0"/>
                </a:lnTo>
                <a:close/>
              </a:path>
            </a:pathLst>
          </a:custGeom>
          <a:pattFill xmlns:a="http://schemas.openxmlformats.org/drawingml/2006/main" prst="pct25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 cap="flat" cmpd="sng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0.80408</cdr:x>
      <cdr:y>0.20827</cdr:y>
    </cdr:from>
    <cdr:to>
      <cdr:x>0.83917</cdr:x>
      <cdr:y>0.26123</cdr:y>
    </cdr:to>
    <cdr:sp macro="" textlink="">
      <cdr:nvSpPr>
        <cdr:cNvPr id="206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59924" y="1291046"/>
          <a:ext cx="301878" cy="3098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36576" rIns="36576" bIns="36576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IV</a:t>
          </a:r>
        </a:p>
      </cdr:txBody>
    </cdr:sp>
  </cdr:relSizeAnchor>
  <cdr:relSizeAnchor xmlns:cdr="http://schemas.openxmlformats.org/drawingml/2006/chartDrawing">
    <cdr:from>
      <cdr:x>0.7091</cdr:x>
      <cdr:y>0.41169</cdr:y>
    </cdr:from>
    <cdr:to>
      <cdr:x>0.73643</cdr:x>
      <cdr:y>0.46465</cdr:y>
    </cdr:to>
    <cdr:sp macro="" textlink="">
      <cdr:nvSpPr>
        <cdr:cNvPr id="206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84166" y="2402994"/>
          <a:ext cx="234495" cy="3091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36576" rIns="36576" bIns="36576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600" b="1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II</a:t>
          </a:r>
        </a:p>
      </cdr:txBody>
    </cdr:sp>
  </cdr:relSizeAnchor>
  <cdr:relSizeAnchor xmlns:cdr="http://schemas.openxmlformats.org/drawingml/2006/chartDrawing">
    <cdr:from>
      <cdr:x>0.853</cdr:x>
      <cdr:y>0.49025</cdr:y>
    </cdr:from>
    <cdr:to>
      <cdr:x>0.86665</cdr:x>
      <cdr:y>0.53706</cdr:y>
    </cdr:to>
    <cdr:sp macro="" textlink="">
      <cdr:nvSpPr>
        <cdr:cNvPr id="2069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6093" y="2857814"/>
          <a:ext cx="116763" cy="272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36576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</a:t>
          </a:r>
        </a:p>
      </cdr:txBody>
    </cdr:sp>
  </cdr:relSizeAnchor>
  <cdr:relSizeAnchor xmlns:cdr="http://schemas.openxmlformats.org/drawingml/2006/chartDrawing">
    <cdr:from>
      <cdr:x>0.377</cdr:x>
      <cdr:y>0.2315</cdr:y>
    </cdr:from>
    <cdr:to>
      <cdr:x>0.40936</cdr:x>
      <cdr:y>0.27813</cdr:y>
    </cdr:to>
    <cdr:sp macro="" textlink="">
      <cdr:nvSpPr>
        <cdr:cNvPr id="2070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07529" y="1423401"/>
          <a:ext cx="276422" cy="272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36576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III</a:t>
          </a:r>
        </a:p>
      </cdr:txBody>
    </cdr:sp>
  </cdr:relSizeAnchor>
  <cdr:relSizeAnchor xmlns:cdr="http://schemas.openxmlformats.org/drawingml/2006/chartDrawing">
    <cdr:from>
      <cdr:x>0.2435</cdr:x>
      <cdr:y>0.57875</cdr:y>
    </cdr:from>
    <cdr:to>
      <cdr:x>0.26514</cdr:x>
      <cdr:y>0.62556</cdr:y>
    </cdr:to>
    <cdr:sp macro="" textlink="">
      <cdr:nvSpPr>
        <cdr:cNvPr id="2071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82765" y="3373707"/>
          <a:ext cx="185115" cy="272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36576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</a:t>
          </a:r>
        </a:p>
      </cdr:txBody>
    </cdr:sp>
  </cdr:relSizeAnchor>
  <cdr:relSizeAnchor xmlns:cdr="http://schemas.openxmlformats.org/drawingml/2006/chartDrawing">
    <cdr:from>
      <cdr:x>0.556</cdr:x>
      <cdr:y>0.531</cdr:y>
    </cdr:from>
    <cdr:to>
      <cdr:x>0.5685</cdr:x>
      <cdr:y>0.5765</cdr:y>
    </cdr:to>
    <cdr:sp macro="" textlink="">
      <cdr:nvSpPr>
        <cdr:cNvPr id="2072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0821" y="3136430"/>
          <a:ext cx="106775" cy="2590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0.27375</cdr:x>
      <cdr:y>0.09675</cdr:y>
    </cdr:from>
    <cdr:to>
      <cdr:x>0.89725</cdr:x>
      <cdr:y>0.12925</cdr:y>
    </cdr:to>
    <cdr:sp macro="" textlink="">
      <cdr:nvSpPr>
        <cdr:cNvPr id="207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1294" y="615643"/>
          <a:ext cx="5336627" cy="208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Assumptions: 564 lbs cement per cubic yard, 1 inch Aggregate,  and Slipformed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A1:N54"/>
  <sheetViews>
    <sheetView tabSelected="1" view="pageBreakPreview" zoomScale="70" zoomScaleNormal="80" zoomScaleSheetLayoutView="70" workbookViewId="0">
      <selection activeCell="C1" sqref="C1"/>
    </sheetView>
  </sheetViews>
  <sheetFormatPr defaultRowHeight="15.75"/>
  <cols>
    <col min="1" max="1" width="27.21875" style="76" bestFit="1" customWidth="1"/>
    <col min="2" max="2" width="26.5546875" style="163" customWidth="1"/>
    <col min="3" max="3" width="26.5546875" customWidth="1"/>
    <col min="4" max="4" width="2.21875" customWidth="1"/>
    <col min="5" max="5" width="18.21875" bestFit="1" customWidth="1"/>
    <col min="6" max="6" width="9" customWidth="1"/>
    <col min="7" max="7" width="1.109375" hidden="1" customWidth="1"/>
    <col min="8" max="9" width="9.44140625" customWidth="1"/>
    <col min="10" max="10" width="7.77734375" customWidth="1"/>
    <col min="11" max="11" width="14.21875" customWidth="1"/>
    <col min="13" max="13" width="12.77734375" customWidth="1"/>
  </cols>
  <sheetData>
    <row r="1" spans="1:14" thickTop="1">
      <c r="A1" s="71" t="s">
        <v>151</v>
      </c>
      <c r="B1" s="184"/>
      <c r="C1" s="172" t="s">
        <v>1258</v>
      </c>
      <c r="E1" s="26"/>
      <c r="F1" s="27" t="s">
        <v>253</v>
      </c>
      <c r="G1" s="157"/>
      <c r="H1" s="26"/>
      <c r="I1" s="27" t="s">
        <v>247</v>
      </c>
      <c r="J1" s="142"/>
      <c r="L1" s="652" t="s">
        <v>2220</v>
      </c>
      <c r="M1" s="171">
        <v>46120</v>
      </c>
    </row>
    <row r="2" spans="1:14" ht="15">
      <c r="A2" s="71" t="s">
        <v>116</v>
      </c>
      <c r="B2" s="184"/>
      <c r="E2" s="28"/>
      <c r="F2" s="513" t="s">
        <v>1757</v>
      </c>
      <c r="G2" s="157"/>
      <c r="H2" s="28"/>
      <c r="I2" s="114" t="s">
        <v>1758</v>
      </c>
      <c r="J2" s="142"/>
    </row>
    <row r="3" spans="1:14" ht="15" customHeight="1">
      <c r="A3" s="71" t="s">
        <v>9</v>
      </c>
      <c r="B3" s="185"/>
      <c r="C3" s="660" t="s">
        <v>2024</v>
      </c>
      <c r="E3" s="28"/>
      <c r="F3" s="514" t="s">
        <v>1744</v>
      </c>
      <c r="G3" s="158"/>
      <c r="H3" s="148"/>
      <c r="I3" s="114" t="s">
        <v>248</v>
      </c>
      <c r="J3" s="143"/>
    </row>
    <row r="4" spans="1:14" ht="15" customHeight="1" thickBot="1">
      <c r="A4" s="71" t="s">
        <v>1837</v>
      </c>
      <c r="B4" s="551"/>
      <c r="C4" s="661"/>
      <c r="E4" s="29"/>
      <c r="F4" s="30" t="s">
        <v>92</v>
      </c>
      <c r="G4" s="157"/>
      <c r="H4" s="149"/>
      <c r="I4" s="150" t="s">
        <v>249</v>
      </c>
      <c r="J4" s="143"/>
    </row>
    <row r="5" spans="1:14" ht="16.149999999999999" customHeight="1" thickTop="1">
      <c r="A5" s="71" t="s">
        <v>10</v>
      </c>
      <c r="B5" s="551"/>
      <c r="C5" s="661"/>
      <c r="F5" s="25" t="str">
        <f>IF(B3="CDM","ENTER",IF(B3="C-SUD","ENTER",IF(B3="SCC","ENTER",IF(B3="BR","ENTER",IF(B3="QMC","ENTER",IF(B3="HPC-D","ENTER",IF(B3="QMCDM","ENTER",IF(B3="C-SUDCW","ENTER",IF(B3="CV-HPC-D", "ENTER","")))))))))</f>
        <v/>
      </c>
      <c r="G5" s="144"/>
      <c r="H5" s="151" t="s">
        <v>250</v>
      </c>
      <c r="I5" s="152">
        <v>0.13300000000000001</v>
      </c>
      <c r="J5" s="142"/>
    </row>
    <row r="6" spans="1:14" ht="15" customHeight="1">
      <c r="A6" s="71" t="s">
        <v>1838</v>
      </c>
      <c r="B6" s="552"/>
      <c r="C6" s="662"/>
      <c r="E6" s="31" t="s">
        <v>47</v>
      </c>
      <c r="F6" s="600">
        <f>IF('QMC Gradation'!B12="",0,'QMC Gradation'!B12)</f>
        <v>0</v>
      </c>
      <c r="G6" s="159"/>
      <c r="H6" s="153" t="s">
        <v>251</v>
      </c>
      <c r="I6" s="154">
        <v>0.4</v>
      </c>
      <c r="J6" s="142"/>
    </row>
    <row r="7" spans="1:14" thickBot="1">
      <c r="A7" s="72" t="s">
        <v>152</v>
      </c>
      <c r="B7" s="186"/>
      <c r="C7" s="483"/>
      <c r="E7" s="31" t="s">
        <v>91</v>
      </c>
      <c r="F7" s="600">
        <f>IF('QMC Gradation'!B13="",0,'QMC Gradation'!B13)</f>
        <v>0</v>
      </c>
      <c r="G7" s="159"/>
      <c r="H7" s="155" t="s">
        <v>252</v>
      </c>
      <c r="I7" s="156">
        <v>0.45</v>
      </c>
      <c r="J7" s="144"/>
      <c r="K7" s="532" t="s">
        <v>173</v>
      </c>
      <c r="L7" s="70"/>
    </row>
    <row r="8" spans="1:14" thickTop="1">
      <c r="A8" s="73" t="s">
        <v>0</v>
      </c>
      <c r="B8" s="478" t="str">
        <f>IF(B7="","", VLOOKUP(B7,CEMENT!A4:E65,4,FALSE))</f>
        <v/>
      </c>
      <c r="C8" s="483"/>
      <c r="E8" s="31" t="s">
        <v>46</v>
      </c>
      <c r="F8" s="600">
        <f>IF('QMC Gradation'!B14="",0,'QMC Gradation'!B14)</f>
        <v>0</v>
      </c>
      <c r="G8" s="159"/>
      <c r="H8" s="159"/>
      <c r="I8" s="159"/>
      <c r="J8" s="32"/>
      <c r="K8" s="532" t="s">
        <v>174</v>
      </c>
      <c r="L8" s="70"/>
    </row>
    <row r="9" spans="1:14" ht="15">
      <c r="A9" s="74" t="s">
        <v>1</v>
      </c>
      <c r="B9" s="479" t="str">
        <f>IF(B7="","", VLOOKUP(B7,CEMENT!A4:E65,5,FALSE))</f>
        <v/>
      </c>
      <c r="C9" s="484"/>
      <c r="E9" s="31" t="s">
        <v>175</v>
      </c>
      <c r="F9" s="162">
        <f>IF('QMC Gradation'!B15="","",SUM(F6:F8))</f>
        <v>0</v>
      </c>
      <c r="G9" s="160"/>
      <c r="H9" s="160"/>
      <c r="I9" s="160"/>
      <c r="J9" s="32"/>
      <c r="K9" s="532" t="s">
        <v>195</v>
      </c>
      <c r="L9" s="70"/>
    </row>
    <row r="10" spans="1:14">
      <c r="A10" s="113" t="s">
        <v>153</v>
      </c>
      <c r="B10" s="187"/>
      <c r="C10" s="485"/>
      <c r="E10" s="614" t="s">
        <v>1864</v>
      </c>
      <c r="H10" s="517" t="s">
        <v>1759</v>
      </c>
      <c r="I10" s="516">
        <v>1</v>
      </c>
      <c r="J10" s="32"/>
      <c r="K10" s="532" t="s">
        <v>1936</v>
      </c>
      <c r="L10" s="70"/>
    </row>
    <row r="11" spans="1:14">
      <c r="A11" s="112" t="s">
        <v>169</v>
      </c>
      <c r="B11" s="480" t="str">
        <f>IF(B10="","",VLOOKUP(B10,FLYASH!A3:E59,4,))</f>
        <v/>
      </c>
      <c r="C11" s="485"/>
      <c r="E11" s="614" t="s">
        <v>1865</v>
      </c>
      <c r="F11" s="601"/>
      <c r="G11" s="145"/>
      <c r="H11" s="145"/>
      <c r="I11" s="145"/>
      <c r="J11" s="33"/>
      <c r="K11" s="532" t="s">
        <v>179</v>
      </c>
    </row>
    <row r="12" spans="1:14" ht="15">
      <c r="A12" s="75" t="s">
        <v>11</v>
      </c>
      <c r="B12" s="188"/>
      <c r="C12" s="486"/>
      <c r="E12" s="546" t="str">
        <f>IF(AND(B3="HPC-O",B8&lt;&gt;""),VLOOKUP(B8,CEMENT!G4:K19,5,FALSE), IF(AND(B8&lt;&gt;"",OR(B3="HPC-S", B3="HPC-D",B3="CV-HPC-S",B3="CV-HPC-D")),VLOOKUP(B8,CEMENT!G4:K19,4,FALSE),""))</f>
        <v/>
      </c>
      <c r="F12" s="161"/>
      <c r="G12" s="146"/>
      <c r="H12" s="146"/>
      <c r="I12" s="146"/>
      <c r="K12" s="532" t="s">
        <v>1910</v>
      </c>
    </row>
    <row r="13" spans="1:14">
      <c r="A13" s="75" t="s">
        <v>2</v>
      </c>
      <c r="B13" s="481" t="str">
        <f>IF(B10="","",VLOOKUP(B10,FLYASH!A3:E59,5,))</f>
        <v/>
      </c>
      <c r="C13" s="487"/>
      <c r="E13" s="602" t="str">
        <f>IF(AND(F5="ENTER",F9&lt;&gt;100), "ENTER AGGREGATE %'s on QMC Gradation Tab","")</f>
        <v/>
      </c>
      <c r="F13" s="161"/>
      <c r="G13" s="146"/>
      <c r="H13" s="146"/>
      <c r="I13" s="146"/>
      <c r="J13" s="145"/>
      <c r="K13" s="589" t="s">
        <v>1933</v>
      </c>
      <c r="M13">
        <v>0</v>
      </c>
      <c r="N13" t="s">
        <v>1080</v>
      </c>
    </row>
    <row r="14" spans="1:14" ht="15">
      <c r="A14" s="72" t="s">
        <v>154</v>
      </c>
      <c r="B14" s="189"/>
      <c r="C14" s="488"/>
      <c r="E14" s="649" t="str">
        <f>IF(OR(' Form E820150'!G22="3iB",' Form E820150'!G23="3iB"),"", IF('Mix Info'!B3="HPC-O", "3iB STONE REQUIRED",""))</f>
        <v/>
      </c>
      <c r="F14" s="147"/>
      <c r="G14" s="147"/>
      <c r="H14" s="147"/>
      <c r="I14" s="147"/>
      <c r="J14" s="146"/>
      <c r="K14" s="532" t="s">
        <v>1911</v>
      </c>
      <c r="M14">
        <v>1</v>
      </c>
      <c r="N14" t="s">
        <v>1104</v>
      </c>
    </row>
    <row r="15" spans="1:14" ht="15">
      <c r="A15" s="73" t="s">
        <v>80</v>
      </c>
      <c r="B15" s="190"/>
      <c r="C15" s="489"/>
      <c r="E15" s="521" t="str">
        <f>IF(AND('Mix Info'!B40="",'Mix Info'!C40=""),"CO2 Admix (%): ", IF('Mix Info'!B40&lt;&gt;"", _xlfn.CONCAT('Mix Info'!B40, "(%): "), _xlfn.CONCAT('Mix Info'!C40, "(%): ")))</f>
        <v xml:space="preserve">CO2 Admix (%): </v>
      </c>
      <c r="F15" s="525">
        <v>0</v>
      </c>
      <c r="J15" s="146"/>
      <c r="K15" s="532" t="s">
        <v>1934</v>
      </c>
      <c r="M15">
        <v>2</v>
      </c>
      <c r="N15" t="s">
        <v>1083</v>
      </c>
    </row>
    <row r="16" spans="1:14" ht="15">
      <c r="A16" s="74" t="s">
        <v>8</v>
      </c>
      <c r="B16" s="482" t="str">
        <f>IF(B14="","",VLOOKUP(B14,SLAG!A3:E15,4,FALSE))</f>
        <v/>
      </c>
      <c r="C16" s="490"/>
      <c r="J16" s="147"/>
      <c r="M16">
        <v>3</v>
      </c>
    </row>
    <row r="17" spans="1:5" ht="15">
      <c r="A17" s="72" t="s">
        <v>155</v>
      </c>
      <c r="B17" s="191"/>
      <c r="C17" s="491"/>
      <c r="E17" s="47"/>
    </row>
    <row r="18" spans="1:5" ht="15">
      <c r="A18" s="74" t="s">
        <v>12</v>
      </c>
      <c r="B18" s="192"/>
      <c r="C18" s="492"/>
    </row>
    <row r="19" spans="1:5" ht="15">
      <c r="A19" s="72" t="s">
        <v>156</v>
      </c>
      <c r="B19" s="193"/>
      <c r="C19" s="493"/>
    </row>
    <row r="20" spans="1:5" ht="15">
      <c r="A20" s="74" t="s">
        <v>81</v>
      </c>
      <c r="B20" s="194"/>
      <c r="C20" s="494"/>
      <c r="E20" s="650" t="str">
        <f>IF(B4="","", VLOOKUP(Substitution!A4,Substitution!A38:G90, 7,FALSE))</f>
        <v/>
      </c>
    </row>
    <row r="21" spans="1:5" ht="15">
      <c r="A21" s="72" t="s">
        <v>158</v>
      </c>
      <c r="B21" s="195"/>
      <c r="C21" s="495"/>
    </row>
    <row r="22" spans="1:5" ht="12" customHeight="1">
      <c r="A22" s="74" t="s">
        <v>157</v>
      </c>
      <c r="B22" s="196"/>
      <c r="C22" s="496"/>
    </row>
    <row r="23" spans="1:5" ht="0.6" customHeight="1">
      <c r="B23" s="598">
        <f>IF(AND(B12="",B15=""),B3,IF(B15="",CONCATENATE(B3,"-",B11,B12),CONCATENATE(B3,"-",B11,B12,"-S",B15)))</f>
        <v>0</v>
      </c>
      <c r="C23" s="497"/>
    </row>
    <row r="24" spans="1:5" ht="15">
      <c r="A24" s="72" t="s">
        <v>254</v>
      </c>
      <c r="B24" s="186"/>
      <c r="C24" s="498"/>
    </row>
    <row r="25" spans="1:5" ht="15">
      <c r="A25" s="181" t="s">
        <v>1953</v>
      </c>
      <c r="B25" s="186"/>
      <c r="C25" s="498"/>
    </row>
    <row r="26" spans="1:5" ht="15">
      <c r="A26" s="164" t="s">
        <v>1422</v>
      </c>
      <c r="B26" s="187"/>
      <c r="C26" s="200"/>
    </row>
    <row r="27" spans="1:5" ht="15">
      <c r="A27" s="181" t="s">
        <v>1745</v>
      </c>
      <c r="B27" s="187"/>
      <c r="C27" s="200"/>
    </row>
    <row r="28" spans="1:5" ht="15">
      <c r="A28" s="164" t="s">
        <v>1423</v>
      </c>
      <c r="B28" s="189"/>
      <c r="C28" s="201"/>
    </row>
    <row r="29" spans="1:5" ht="15">
      <c r="A29" s="181" t="s">
        <v>1745</v>
      </c>
      <c r="B29" s="189"/>
      <c r="C29" s="201"/>
    </row>
    <row r="30" spans="1:5" ht="15">
      <c r="A30" s="164" t="s">
        <v>1424</v>
      </c>
      <c r="B30" s="191"/>
      <c r="C30" s="202"/>
    </row>
    <row r="31" spans="1:5" ht="15">
      <c r="A31" s="181" t="s">
        <v>1745</v>
      </c>
      <c r="B31" s="191"/>
      <c r="C31" s="202"/>
    </row>
    <row r="32" spans="1:5" ht="15">
      <c r="A32" s="73" t="s">
        <v>255</v>
      </c>
      <c r="B32" s="193"/>
      <c r="C32" s="203"/>
    </row>
    <row r="33" spans="1:3" ht="15">
      <c r="A33" s="181" t="s">
        <v>1745</v>
      </c>
      <c r="B33" s="193"/>
      <c r="C33" s="203"/>
    </row>
    <row r="34" spans="1:3" ht="15">
      <c r="A34" s="71" t="s">
        <v>1425</v>
      </c>
      <c r="B34" s="195"/>
      <c r="C34" s="499"/>
    </row>
    <row r="35" spans="1:3" ht="15">
      <c r="A35" s="181" t="s">
        <v>1745</v>
      </c>
      <c r="B35" s="195"/>
      <c r="C35" s="499"/>
    </row>
    <row r="36" spans="1:3" ht="15">
      <c r="A36" s="616" t="s">
        <v>2028</v>
      </c>
      <c r="B36" s="617"/>
      <c r="C36" s="618"/>
    </row>
    <row r="37" spans="1:3" ht="15">
      <c r="A37" s="616" t="s">
        <v>1745</v>
      </c>
      <c r="B37" s="617"/>
      <c r="C37" s="618"/>
    </row>
    <row r="38" spans="1:3" ht="15">
      <c r="A38" s="619" t="s">
        <v>1426</v>
      </c>
      <c r="B38" s="186"/>
      <c r="C38" s="498"/>
    </row>
    <row r="39" spans="1:3" ht="15">
      <c r="A39" s="182" t="s">
        <v>1427</v>
      </c>
      <c r="B39" s="186"/>
      <c r="C39" s="498"/>
    </row>
    <row r="40" spans="1:3" ht="15">
      <c r="A40" s="619" t="s">
        <v>2026</v>
      </c>
      <c r="B40" s="615"/>
      <c r="C40" s="201"/>
    </row>
    <row r="41" spans="1:3" ht="15">
      <c r="A41" s="74" t="s">
        <v>2025</v>
      </c>
      <c r="B41" s="528"/>
      <c r="C41" s="527"/>
    </row>
    <row r="42" spans="1:3" ht="15">
      <c r="A42" s="627" t="s">
        <v>2063</v>
      </c>
      <c r="B42" s="626"/>
      <c r="C42" s="527"/>
    </row>
    <row r="43" spans="1:3" ht="15">
      <c r="A43" s="71" t="s">
        <v>259</v>
      </c>
      <c r="B43" s="526"/>
      <c r="C43" s="180"/>
    </row>
    <row r="44" spans="1:3" ht="15">
      <c r="A44" s="71" t="s">
        <v>260</v>
      </c>
      <c r="B44" s="197"/>
      <c r="C44" s="180"/>
    </row>
    <row r="45" spans="1:3" ht="15">
      <c r="A45" s="71" t="s">
        <v>1252</v>
      </c>
      <c r="B45" s="197"/>
      <c r="C45" s="180"/>
    </row>
    <row r="46" spans="1:3" ht="15">
      <c r="A46" s="71" t="s">
        <v>1253</v>
      </c>
      <c r="B46" s="197"/>
      <c r="C46" s="180"/>
    </row>
    <row r="47" spans="1:3" ht="15">
      <c r="A47" s="71" t="s">
        <v>159</v>
      </c>
      <c r="B47" s="198"/>
    </row>
    <row r="48" spans="1:3" thickBot="1">
      <c r="A48" s="71"/>
    </row>
    <row r="49" spans="1:13" ht="16.5" thickBot="1">
      <c r="A49" s="71" t="s">
        <v>239</v>
      </c>
      <c r="B49" s="170" t="s">
        <v>233</v>
      </c>
      <c r="E49" s="69"/>
      <c r="K49" t="s">
        <v>233</v>
      </c>
      <c r="M49" t="s">
        <v>2064</v>
      </c>
    </row>
    <row r="50" spans="1:13" ht="15">
      <c r="A50" s="71"/>
      <c r="K50" t="s">
        <v>237</v>
      </c>
      <c r="M50" t="s">
        <v>2065</v>
      </c>
    </row>
    <row r="51" spans="1:13" ht="15">
      <c r="A51" s="71"/>
      <c r="M51" t="s">
        <v>2066</v>
      </c>
    </row>
    <row r="52" spans="1:13" ht="15">
      <c r="A52" s="71"/>
      <c r="E52" s="68"/>
      <c r="M52" t="s">
        <v>2067</v>
      </c>
    </row>
    <row r="53" spans="1:13" ht="15">
      <c r="A53" s="71"/>
    </row>
    <row r="54" spans="1:13" ht="15">
      <c r="A54" s="71"/>
    </row>
  </sheetData>
  <sheetProtection algorithmName="SHA-512" hashValue="KXK/1eOUdIvYu5hgyCNarNKj5REcUCDLBD4d2Uwjnn5ksMTz3yF5OY1nPz8ca4qNJvEX6Gl/IvqIp1PvIB80EA==" saltValue="DigPQFLYDD0Jclo3uDBimQ==" spinCount="100000" sheet="1" objects="1" scenarios="1"/>
  <mergeCells count="1">
    <mergeCell ref="C3:C6"/>
  </mergeCells>
  <phoneticPr fontId="20" type="noConversion"/>
  <conditionalFormatting sqref="B4">
    <cfRule type="expression" dxfId="4" priority="2">
      <formula>AND($B$3&lt;&gt;"",$B$4="")</formula>
    </cfRule>
  </conditionalFormatting>
  <conditionalFormatting sqref="B6">
    <cfRule type="expression" dxfId="3" priority="1">
      <formula>AND($B$3&lt;&gt;"",$B$6="")</formula>
    </cfRule>
  </conditionalFormatting>
  <dataValidations xWindow="412" yWindow="415" count="4">
    <dataValidation type="list" allowBlank="1" showInputMessage="1" showErrorMessage="1" sqref="B49" xr:uid="{00000000-0002-0000-0000-000001000000}">
      <formula1>$K$49:$K$50</formula1>
    </dataValidation>
    <dataValidation type="list" allowBlank="1" showInputMessage="1" showErrorMessage="1" sqref="F15" xr:uid="{BCE48B01-752B-43D5-87D3-C4360AADF792}">
      <formula1>$M$13:$M$16</formula1>
    </dataValidation>
    <dataValidation type="list" allowBlank="1" showInputMessage="1" sqref="C11" xr:uid="{4C2D3B84-C65E-43D4-AD04-9B56E4801E70}">
      <formula1>$N$12:$N$17</formula1>
    </dataValidation>
    <dataValidation type="list" allowBlank="1" showInputMessage="1" showErrorMessage="1" sqref="B42" xr:uid="{4A9C4245-F573-47ED-B2F9-CE5937B8091D}">
      <formula1>$M$48:$M$52</formula1>
    </dataValidation>
  </dataValidations>
  <pageMargins left="0.25" right="0.25" top="0.75" bottom="0.75" header="0.3" footer="0.3"/>
  <pageSetup scale="95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412" yWindow="415" count="19">
        <x14:dataValidation type="list" allowBlank="1" showInputMessage="1" showErrorMessage="1" xr:uid="{BD3EAA55-8BD0-4C77-B686-C25131F6B54C}">
          <x14:formula1>
            <xm:f>COUNTIES!$A$3:$A$102</xm:f>
          </x14:formula1>
          <xm:sqref>B1</xm:sqref>
        </x14:dataValidation>
        <x14:dataValidation type="list" allowBlank="1" showInputMessage="1" showErrorMessage="1" xr:uid="{47DB049B-9787-4D3F-B031-80EAD0978A27}">
          <x14:formula1>
            <xm:f>CEMENT!$A$3:$A$70</xm:f>
          </x14:formula1>
          <xm:sqref>B7</xm:sqref>
        </x14:dataValidation>
        <x14:dataValidation type="list" allowBlank="1" showInputMessage="1" showErrorMessage="1" xr:uid="{B875772A-0ADF-4D58-8F32-0FDA850D2A87}">
          <x14:formula1>
            <xm:f>FLYASH!$A$3:$A$70</xm:f>
          </x14:formula1>
          <xm:sqref>B10</xm:sqref>
        </x14:dataValidation>
        <x14:dataValidation type="list" allowBlank="1" showInputMessage="1" showErrorMessage="1" xr:uid="{3E0F58E9-B605-4553-A921-1BFEDA2AA1FD}">
          <x14:formula1>
            <xm:f>SLAG!$A$3:$A$15</xm:f>
          </x14:formula1>
          <xm:sqref>B14</xm:sqref>
        </x14:dataValidation>
        <x14:dataValidation type="list" allowBlank="1" showInputMessage="1" showErrorMessage="1" xr:uid="{6B0D5C8B-789A-400B-8A2C-34714D8F4E50}">
          <x14:formula1>
            <xm:f>CA!$A$3:$A$370</xm:f>
          </x14:formula1>
          <xm:sqref>B21 B19</xm:sqref>
        </x14:dataValidation>
        <x14:dataValidation type="list" allowBlank="1" showInputMessage="1" showErrorMessage="1" xr:uid="{181957E1-48AC-461B-AD48-902EAA2B1D30}">
          <x14:formula1>
            <xm:f>FA!$A$3:$A$320</xm:f>
          </x14:formula1>
          <xm:sqref>B17</xm:sqref>
        </x14:dataValidation>
        <x14:dataValidation type="list" allowBlank="1" showInputMessage="1" showErrorMessage="1" xr:uid="{D60ACEC7-CBD1-47CB-AED9-4427F1A05E5F}">
          <x14:formula1>
            <xm:f>'ADMIX-AIR'!$A$3:$A$50</xm:f>
          </x14:formula1>
          <xm:sqref>B24</xm:sqref>
        </x14:dataValidation>
        <x14:dataValidation type="list" allowBlank="1" showInputMessage="1" showErrorMessage="1" xr:uid="{86728AC7-F7F2-4D1E-810E-E04C056BDAE5}">
          <x14:formula1>
            <xm:f>'ADMIX-WR'!$A$3:$A$70</xm:f>
          </x14:formula1>
          <xm:sqref>B26</xm:sqref>
        </x14:dataValidation>
        <x14:dataValidation type="list" allowBlank="1" showInputMessage="1" showErrorMessage="1" xr:uid="{CFDE6D9B-8AA2-4A0F-9F2B-18F26D7B8256}">
          <x14:formula1>
            <xm:f>'ADMIX-HR'!$A$3:$A$80</xm:f>
          </x14:formula1>
          <xm:sqref>B30</xm:sqref>
        </x14:dataValidation>
        <x14:dataValidation type="list" allowBlank="1" showInputMessage="1" showErrorMessage="1" xr:uid="{1D011753-B75B-4DF6-8DD5-3BE2DCEBBDAE}">
          <x14:formula1>
            <xm:f>'ADMIX-RETARDER'!$A$3:$A$50</xm:f>
          </x14:formula1>
          <xm:sqref>B32</xm:sqref>
        </x14:dataValidation>
        <x14:dataValidation type="list" allowBlank="1" showInputMessage="1" showErrorMessage="1" xr:uid="{663F4EFC-C66F-494C-9322-8C2EDA172C66}">
          <x14:formula1>
            <xm:f>'ADMIX-SP'!$A$3:$A$40</xm:f>
          </x14:formula1>
          <xm:sqref>B34</xm:sqref>
        </x14:dataValidation>
        <x14:dataValidation type="list" allowBlank="1" showInputMessage="1" showErrorMessage="1" xr:uid="{F575211D-5811-45AD-97D3-2CC6F8230AAB}">
          <x14:formula1>
            <xm:f>FIBERS!$A$3:$A$50</xm:f>
          </x14:formula1>
          <xm:sqref>B38</xm:sqref>
        </x14:dataValidation>
        <x14:dataValidation type="list" allowBlank="1" showInputMessage="1" showErrorMessage="1" xr:uid="{9ABFBA92-2231-4561-ADFE-A5CC42476E34}">
          <x14:formula1>
            <xm:f>'ADMIX-MR'!$A$3:$A$50</xm:f>
          </x14:formula1>
          <xm:sqref>B28</xm:sqref>
        </x14:dataValidation>
        <x14:dataValidation type="list" allowBlank="1" showInputMessage="1" showErrorMessage="1" xr:uid="{F6E63E4E-96D8-4FAB-89A9-B98B13422290}">
          <x14:formula1>
            <xm:f>Substitution!$M$4:$M$6</xm:f>
          </x14:formula1>
          <xm:sqref>B6</xm:sqref>
        </x14:dataValidation>
        <x14:dataValidation type="list" allowBlank="1" showInputMessage="1" xr:uid="{7CFDC9EB-51DB-47D2-ACBD-CBF4246DBC72}">
          <x14:formula1>
            <xm:f>CEMENT!$G$3:$G$23</xm:f>
          </x14:formula1>
          <xm:sqref>C8</xm:sqref>
        </x14:dataValidation>
        <x14:dataValidation type="list" allowBlank="1" showInputMessage="1" showErrorMessage="1" xr:uid="{B588CDE9-F27B-4211-8EDC-732FAAB0DE12}">
          <x14:formula1>
            <xm:f>'ADMIX-CO2'!$A$3:$A$15</xm:f>
          </x14:formula1>
          <xm:sqref>B40</xm:sqref>
        </x14:dataValidation>
        <x14:dataValidation type="list" allowBlank="1" showInputMessage="1" showErrorMessage="1" xr:uid="{10F06ABA-D858-467E-9251-1167B626E64D}">
          <x14:formula1>
            <xm:f>'ADMIX-FF'!$A$3:$A$23</xm:f>
          </x14:formula1>
          <xm:sqref>B36</xm:sqref>
        </x14:dataValidation>
        <x14:dataValidation type="list" allowBlank="1" showInputMessage="1" showErrorMessage="1" xr:uid="{243B1EC4-2CB8-45BF-9010-369ACB76AB50}">
          <x14:formula1>
            <xm:f>Substitution!$K$4:$K$17</xm:f>
          </x14:formula1>
          <xm:sqref>B4</xm:sqref>
        </x14:dataValidation>
        <x14:dataValidation type="list" showInputMessage="1" showErrorMessage="1" promptTitle="% Replacement" prompt="Depending on the placement type and date of pour, maximum allowable cement substitution can vary. Please review the SUBSTITUTION TAB for further information. " xr:uid="{00000000-0002-0000-0000-000003000000}">
          <x14:formula1>
            <xm:f>E820150A!$A$43:$A$103</xm:f>
          </x14:formula1>
          <xm:sqref>B3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A39D8-DF4D-4912-93FF-CF17C41812AF}">
  <sheetPr codeName="Sheet12">
    <tabColor rgb="FFFFC000"/>
    <pageSetUpPr fitToPage="1"/>
  </sheetPr>
  <dimension ref="A1:P49"/>
  <sheetViews>
    <sheetView showGridLines="0" zoomScale="75" workbookViewId="0">
      <selection activeCell="B4" sqref="B4"/>
    </sheetView>
  </sheetViews>
  <sheetFormatPr defaultColWidth="8.77734375" defaultRowHeight="12.75"/>
  <cols>
    <col min="1" max="1" width="1.21875" style="205" customWidth="1"/>
    <col min="2" max="8" width="8.77734375" style="205"/>
    <col min="9" max="9" width="7.77734375" style="205" bestFit="1" customWidth="1"/>
    <col min="10" max="16384" width="8.77734375" style="205"/>
  </cols>
  <sheetData>
    <row r="1" spans="1:16" ht="19.5">
      <c r="A1" s="288"/>
      <c r="B1" s="289" t="s">
        <v>1497</v>
      </c>
      <c r="C1" s="290"/>
      <c r="D1" s="291"/>
      <c r="E1" s="292" t="s">
        <v>1498</v>
      </c>
      <c r="F1" s="291"/>
      <c r="G1" s="291"/>
      <c r="H1" s="291"/>
      <c r="I1" s="291"/>
      <c r="J1" s="291"/>
      <c r="K1" s="291"/>
      <c r="L1" s="293"/>
      <c r="M1" s="291"/>
      <c r="N1" s="291"/>
      <c r="O1" s="294"/>
      <c r="P1" s="295"/>
    </row>
    <row r="2" spans="1:16" ht="18.75">
      <c r="A2" s="296" t="s">
        <v>1499</v>
      </c>
      <c r="B2" s="297"/>
      <c r="C2" s="297"/>
      <c r="D2" s="297"/>
      <c r="E2" s="297"/>
      <c r="F2" s="298"/>
      <c r="G2" s="298"/>
      <c r="H2" s="298"/>
      <c r="I2" s="298"/>
      <c r="J2" s="298"/>
      <c r="K2" s="297"/>
      <c r="L2" s="297"/>
      <c r="M2" s="297"/>
      <c r="N2" s="297"/>
      <c r="P2" s="299"/>
    </row>
    <row r="3" spans="1:16" ht="18.75">
      <c r="A3" s="296" t="s">
        <v>1500</v>
      </c>
      <c r="B3" s="297"/>
      <c r="C3" s="297"/>
      <c r="D3" s="297"/>
      <c r="E3" s="297"/>
      <c r="F3" s="298"/>
      <c r="G3" s="298"/>
      <c r="H3" s="298"/>
      <c r="I3" s="298"/>
      <c r="J3" s="298"/>
      <c r="K3" s="297"/>
      <c r="L3" s="297"/>
      <c r="M3" s="297"/>
      <c r="N3" s="297"/>
      <c r="P3" s="299"/>
    </row>
    <row r="4" spans="1:16" ht="15.75">
      <c r="A4" s="300"/>
      <c r="B4" s="301"/>
      <c r="C4" s="302"/>
      <c r="D4" s="303"/>
      <c r="E4" s="303"/>
      <c r="F4" s="301"/>
      <c r="G4" s="302"/>
      <c r="H4" s="304"/>
      <c r="I4" s="303"/>
      <c r="J4" s="301"/>
      <c r="K4" s="302"/>
      <c r="L4" s="305"/>
      <c r="M4" s="297"/>
      <c r="N4" s="306"/>
      <c r="P4" s="299"/>
    </row>
    <row r="5" spans="1:16" ht="18.75">
      <c r="A5" s="300"/>
      <c r="B5" s="307" t="s">
        <v>1501</v>
      </c>
      <c r="C5" s="298"/>
      <c r="D5" s="703" t="str">
        <f>IF('Mix Info'!B1="","",'Mix Info'!B1)</f>
        <v/>
      </c>
      <c r="E5" s="703"/>
      <c r="F5" s="307" t="s">
        <v>1502</v>
      </c>
      <c r="G5" s="298"/>
      <c r="H5" s="704" t="str">
        <f>IF('Mix Info'!B2="","",'Mix Info'!B2)</f>
        <v/>
      </c>
      <c r="I5" s="705"/>
      <c r="J5" s="705"/>
      <c r="K5" s="705"/>
      <c r="L5" s="308" t="s">
        <v>1503</v>
      </c>
      <c r="M5" s="706" t="str">
        <f>IF('Mix Info'!B5="","",'Mix Info'!B5)</f>
        <v/>
      </c>
      <c r="N5" s="707"/>
      <c r="O5" s="309"/>
      <c r="P5" s="299"/>
    </row>
    <row r="6" spans="1:16" ht="18.75">
      <c r="A6" s="300"/>
      <c r="B6" s="307" t="s">
        <v>1504</v>
      </c>
      <c r="C6" s="298"/>
      <c r="D6" s="708"/>
      <c r="E6" s="709"/>
      <c r="F6" s="709"/>
      <c r="G6" s="709"/>
      <c r="H6" s="709"/>
      <c r="I6" s="709"/>
      <c r="J6" s="307"/>
      <c r="K6" s="309"/>
      <c r="L6" s="310" t="s">
        <v>1505</v>
      </c>
      <c r="M6" s="710"/>
      <c r="N6" s="709"/>
      <c r="O6" s="309"/>
      <c r="P6" s="299"/>
    </row>
    <row r="7" spans="1:16" ht="18.75">
      <c r="A7" s="300"/>
      <c r="B7" s="307"/>
      <c r="C7" s="298"/>
      <c r="D7" s="311" t="s">
        <v>1254</v>
      </c>
      <c r="E7" s="312"/>
      <c r="F7" s="313"/>
      <c r="G7" s="307"/>
      <c r="H7" s="711"/>
      <c r="I7" s="712"/>
      <c r="J7" s="307"/>
      <c r="K7" s="298"/>
      <c r="L7" s="298"/>
      <c r="M7" s="314" t="s">
        <v>1254</v>
      </c>
      <c r="N7" s="313"/>
      <c r="O7" s="309"/>
      <c r="P7" s="299"/>
    </row>
    <row r="8" spans="1:16" ht="19.5" thickBot="1">
      <c r="A8" s="300"/>
      <c r="B8" s="307" t="s">
        <v>1506</v>
      </c>
      <c r="C8" s="298"/>
      <c r="D8" s="713"/>
      <c r="E8" s="714"/>
      <c r="F8" s="714"/>
      <c r="G8" s="311" t="s">
        <v>1869</v>
      </c>
      <c r="H8" s="604"/>
      <c r="I8" s="715" t="str">
        <f>IF('Mix Info'!B43="","",'Mix Info'!B43)</f>
        <v/>
      </c>
      <c r="J8" s="715"/>
      <c r="K8" s="307" t="s">
        <v>1507</v>
      </c>
      <c r="L8" s="298"/>
      <c r="M8" s="715" t="str">
        <f>IF('Mix Info'!B44="","",'Mix Info'!B44)</f>
        <v/>
      </c>
      <c r="N8" s="716"/>
      <c r="O8" s="309"/>
      <c r="P8" s="299"/>
    </row>
    <row r="9" spans="1:16" ht="18.75">
      <c r="A9" s="300"/>
      <c r="B9" s="315" t="s">
        <v>1508</v>
      </c>
      <c r="C9" s="316"/>
      <c r="D9" s="317" t="s">
        <v>1509</v>
      </c>
      <c r="E9" s="318" t="s">
        <v>1510</v>
      </c>
      <c r="F9" s="319"/>
      <c r="G9" s="316" t="s">
        <v>1511</v>
      </c>
      <c r="H9" s="316"/>
      <c r="I9" s="316"/>
      <c r="J9" s="316"/>
      <c r="K9" s="316"/>
      <c r="L9" s="316"/>
      <c r="M9" s="320" t="s">
        <v>1512</v>
      </c>
      <c r="N9" s="321" t="s">
        <v>1513</v>
      </c>
      <c r="O9" s="309"/>
      <c r="P9" s="299"/>
    </row>
    <row r="10" spans="1:16" ht="18.75">
      <c r="A10" s="300"/>
      <c r="B10" s="500" t="s">
        <v>1749</v>
      </c>
      <c r="C10" s="501"/>
      <c r="D10" s="322"/>
      <c r="E10" s="323">
        <f>('QMC Gradation'!$B$12/100)</f>
        <v>0</v>
      </c>
      <c r="F10" s="324"/>
      <c r="G10" s="504" t="str">
        <f>IF(' Form E820150'!D23="","",' Form E820150'!D23)</f>
        <v/>
      </c>
      <c r="H10" s="504"/>
      <c r="I10" s="504"/>
      <c r="J10" s="504"/>
      <c r="K10" s="504"/>
      <c r="L10" s="504"/>
      <c r="M10" s="325"/>
      <c r="N10" s="326"/>
      <c r="O10" s="309"/>
      <c r="P10" s="299"/>
    </row>
    <row r="11" spans="1:16" ht="18.75">
      <c r="A11" s="300"/>
      <c r="B11" s="500" t="s">
        <v>1750</v>
      </c>
      <c r="C11" s="501"/>
      <c r="D11" s="322" t="s">
        <v>1254</v>
      </c>
      <c r="E11" s="323">
        <f>('QMC Gradation'!$B$13/100)</f>
        <v>0</v>
      </c>
      <c r="F11" s="324"/>
      <c r="G11" s="504" t="str">
        <f>IF(' Form E820150'!D22="","",' Form E820150'!D22)</f>
        <v/>
      </c>
      <c r="H11" s="504"/>
      <c r="I11" s="504"/>
      <c r="J11" s="504"/>
      <c r="K11" s="504"/>
      <c r="L11" s="504"/>
      <c r="M11" s="325"/>
      <c r="N11" s="326"/>
      <c r="O11" s="309"/>
      <c r="P11" s="299"/>
    </row>
    <row r="12" spans="1:16" ht="18.75">
      <c r="A12" s="300"/>
      <c r="B12" s="500" t="s">
        <v>1514</v>
      </c>
      <c r="C12" s="501"/>
      <c r="D12" s="322" t="s">
        <v>1254</v>
      </c>
      <c r="E12" s="323">
        <f>'QMC Gradation'!$B$14/100</f>
        <v>0</v>
      </c>
      <c r="F12" s="324"/>
      <c r="G12" s="504" t="str">
        <f>IF(' Form E820150'!D21="","",' Form E820150'!D21)</f>
        <v/>
      </c>
      <c r="H12" s="504"/>
      <c r="I12" s="504"/>
      <c r="J12" s="504"/>
      <c r="K12" s="504"/>
      <c r="L12" s="504"/>
      <c r="M12" s="325"/>
      <c r="N12" s="326"/>
      <c r="O12" s="309"/>
      <c r="P12" s="299"/>
    </row>
    <row r="13" spans="1:16" ht="19.5" thickBot="1">
      <c r="A13" s="300"/>
      <c r="B13" s="502" t="s">
        <v>1254</v>
      </c>
      <c r="C13" s="503"/>
      <c r="D13" s="327" t="s">
        <v>1254</v>
      </c>
      <c r="E13" s="328" t="s">
        <v>1254</v>
      </c>
      <c r="F13" s="329"/>
      <c r="G13" s="505"/>
      <c r="H13" s="505"/>
      <c r="I13" s="505"/>
      <c r="J13" s="505"/>
      <c r="K13" s="505"/>
      <c r="L13" s="505"/>
      <c r="M13" s="330"/>
      <c r="N13" s="331"/>
      <c r="O13" s="309"/>
      <c r="P13" s="299"/>
    </row>
    <row r="14" spans="1:16" ht="18.75">
      <c r="A14" s="300"/>
      <c r="B14" s="332"/>
      <c r="C14" s="332"/>
      <c r="D14" s="333"/>
      <c r="E14" s="334"/>
      <c r="F14" s="335"/>
      <c r="G14" s="313"/>
      <c r="H14" s="313"/>
      <c r="I14" s="313"/>
      <c r="J14" s="313"/>
      <c r="K14" s="313"/>
      <c r="L14" s="313"/>
      <c r="M14" s="313"/>
      <c r="N14" s="313"/>
      <c r="O14" s="309"/>
      <c r="P14" s="299"/>
    </row>
    <row r="15" spans="1:16" ht="18.75">
      <c r="A15" s="300"/>
      <c r="B15" s="332"/>
      <c r="C15" s="332"/>
      <c r="D15" s="333"/>
      <c r="E15" s="334"/>
      <c r="F15" s="335"/>
      <c r="G15" s="313"/>
      <c r="H15" s="313"/>
      <c r="I15" s="313"/>
      <c r="J15" s="313"/>
      <c r="K15" s="313"/>
      <c r="L15" s="313"/>
      <c r="M15" s="313"/>
      <c r="N15" s="313"/>
      <c r="O15" s="309"/>
      <c r="P15" s="299"/>
    </row>
    <row r="16" spans="1:16" ht="18.75">
      <c r="A16" s="300"/>
      <c r="B16" s="313"/>
      <c r="C16" s="313"/>
      <c r="D16" s="313"/>
      <c r="E16" s="313"/>
      <c r="F16" s="313"/>
      <c r="G16" s="313"/>
      <c r="H16" s="313"/>
      <c r="I16" s="313"/>
      <c r="J16" s="313"/>
      <c r="K16" s="313"/>
      <c r="L16" s="313"/>
      <c r="M16" s="313"/>
      <c r="N16" s="313"/>
      <c r="O16" s="309"/>
      <c r="P16" s="299"/>
    </row>
    <row r="17" spans="1:16" ht="18.75">
      <c r="A17" s="300"/>
      <c r="B17" s="336" t="s">
        <v>1515</v>
      </c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338"/>
      <c r="P17" s="299"/>
    </row>
    <row r="18" spans="1:16" ht="18.75">
      <c r="A18" s="300"/>
      <c r="B18" s="339" t="s">
        <v>1508</v>
      </c>
      <c r="C18" s="340"/>
      <c r="D18" s="341" t="s">
        <v>1516</v>
      </c>
      <c r="E18" s="341" t="s">
        <v>1474</v>
      </c>
      <c r="F18" s="341" t="s">
        <v>1475</v>
      </c>
      <c r="G18" s="341" t="s">
        <v>1476</v>
      </c>
      <c r="H18" s="341" t="s">
        <v>1477</v>
      </c>
      <c r="I18" s="341" t="s">
        <v>1456</v>
      </c>
      <c r="J18" s="341" t="s">
        <v>1454</v>
      </c>
      <c r="K18" s="342" t="s">
        <v>1453</v>
      </c>
      <c r="L18" s="342" t="s">
        <v>1451</v>
      </c>
      <c r="M18" s="342" t="s">
        <v>1450</v>
      </c>
      <c r="N18" s="342" t="s">
        <v>1447</v>
      </c>
      <c r="O18" s="343" t="s">
        <v>1445</v>
      </c>
      <c r="P18" s="299"/>
    </row>
    <row r="19" spans="1:16" ht="18.75">
      <c r="A19" s="300"/>
      <c r="B19" s="344" t="str">
        <f>B10</f>
        <v>Coarse Agg</v>
      </c>
      <c r="C19" s="345"/>
      <c r="D19" s="346">
        <f>IF('QMC Gradation'!$B$20&lt;10,ROUND('QMC Gradation'!$B$20,1),ROUND('QMC Gradation'!$B$20,0))</f>
        <v>0</v>
      </c>
      <c r="E19" s="346">
        <f>IF('QMC Gradation'!$B$21&lt;10,ROUND('QMC Gradation'!$B$21,1),ROUND('QMC Gradation'!$B$21,0))</f>
        <v>0</v>
      </c>
      <c r="F19" s="346">
        <f>IF('QMC Gradation'!$B$22&lt;10,ROUND('QMC Gradation'!$B$22,1),ROUND('QMC Gradation'!$B$22,0))</f>
        <v>0</v>
      </c>
      <c r="G19" s="346">
        <f>IF('QMC Gradation'!$B$23&lt;10,ROUND('QMC Gradation'!$B$23,1),ROUND('QMC Gradation'!$B$23,0))</f>
        <v>0</v>
      </c>
      <c r="H19" s="346">
        <f>IF('QMC Gradation'!$B$24&lt;10,ROUND('QMC Gradation'!$B$24,1),ROUND('QMC Gradation'!$B$24,0))</f>
        <v>0</v>
      </c>
      <c r="I19" s="346">
        <f>IF('QMC Gradation'!$B$25&lt;10,ROUND('QMC Gradation'!$B$25,1),ROUND('QMC Gradation'!$B$25,0))</f>
        <v>0</v>
      </c>
      <c r="J19" s="346">
        <f>IF('QMC Gradation'!$B$26&lt;10,ROUND('QMC Gradation'!$B$26,1),ROUND('QMC Gradation'!$B$26,0))</f>
        <v>0</v>
      </c>
      <c r="K19" s="347">
        <f>IF('QMC Gradation'!$B$27&lt;10,ROUND('QMC Gradation'!$B$27,1),ROUND('QMC Gradation'!$B$27,0))</f>
        <v>0</v>
      </c>
      <c r="L19" s="347">
        <f>IF('QMC Gradation'!$B$28&lt;10,ROUND('QMC Gradation'!$B$28,1),ROUND('QMC Gradation'!$B$28,0))</f>
        <v>0</v>
      </c>
      <c r="M19" s="347">
        <f>IF('QMC Gradation'!$B$29&lt;10,ROUND('QMC Gradation'!$B$29,1),ROUND('QMC Gradation'!$B$29,0))</f>
        <v>0</v>
      </c>
      <c r="N19" s="347">
        <f>IF('QMC Gradation'!$B$30&lt;10,ROUND('QMC Gradation'!$B$30,1),ROUND('QMC Gradation'!$B$30,0))</f>
        <v>0</v>
      </c>
      <c r="O19" s="346">
        <f>IF('QMC Gradation'!$B$31&lt;10,ROUND('QMC Gradation'!$B$31,1),ROUND('QMC Gradation'!$B$31,0))</f>
        <v>0</v>
      </c>
      <c r="P19" s="299"/>
    </row>
    <row r="20" spans="1:16" ht="18.75">
      <c r="A20" s="300"/>
      <c r="B20" s="344" t="str">
        <f>B11</f>
        <v>Int. Agg</v>
      </c>
      <c r="C20" s="345"/>
      <c r="D20" s="423">
        <f>IF('QMC Gradation'!$C$20&lt;10,ROUND('QMC Gradation'!$C$20,1),ROUND('QMC Gradation'!$C$20,0))</f>
        <v>0</v>
      </c>
      <c r="E20" s="423">
        <f>IF('QMC Gradation'!$C$21&lt;10,ROUND('QMC Gradation'!$C$21,1),ROUND('QMC Gradation'!$C$21,0))</f>
        <v>0</v>
      </c>
      <c r="F20" s="423">
        <f>IF('QMC Gradation'!$C$22&lt;10,ROUND('QMC Gradation'!$C$22,1),ROUND('QMC Gradation'!$C$22,0))</f>
        <v>0</v>
      </c>
      <c r="G20" s="423">
        <f>IF('QMC Gradation'!$C$23&lt;10,ROUND('QMC Gradation'!$C$23,1),ROUND('QMC Gradation'!$C$23,0))</f>
        <v>0</v>
      </c>
      <c r="H20" s="423">
        <f>IF('QMC Gradation'!$C$24&lt;10,ROUND('QMC Gradation'!$C$24,1),ROUND('QMC Gradation'!$C$24,0))</f>
        <v>0</v>
      </c>
      <c r="I20" s="423">
        <f>IF('QMC Gradation'!$C$25&lt;10,ROUND('QMC Gradation'!$C$25,1),ROUND('QMC Gradation'!$C$25,0))</f>
        <v>0</v>
      </c>
      <c r="J20" s="423">
        <f>IF('QMC Gradation'!$C$26&lt;10,ROUND('QMC Gradation'!$C$26,1),ROUND('QMC Gradation'!$C$26,0))</f>
        <v>0</v>
      </c>
      <c r="K20" s="424">
        <f>IF('QMC Gradation'!$C$27&lt;10,ROUND('QMC Gradation'!$C$27,1),ROUND('QMC Gradation'!$C$27,0))</f>
        <v>0</v>
      </c>
      <c r="L20" s="424">
        <f>IF('QMC Gradation'!$C$28&lt;10,ROUND('QMC Gradation'!$C$28,1),ROUND('QMC Gradation'!$C$28,0))</f>
        <v>0</v>
      </c>
      <c r="M20" s="424">
        <f>IF('QMC Gradation'!$C$29&lt;10,ROUND('QMC Gradation'!$C$29,1),ROUND('QMC Gradation'!$C$29,0))</f>
        <v>0</v>
      </c>
      <c r="N20" s="424">
        <f>IF('QMC Gradation'!$C$30&lt;10,ROUND('QMC Gradation'!$C$30,1),ROUND('QMC Gradation'!$C$30,0))</f>
        <v>0</v>
      </c>
      <c r="O20" s="423">
        <f>IF('QMC Gradation'!$C$31&lt;10,ROUND('QMC Gradation'!$C$31,1),ROUND('QMC Gradation'!$C$31,0))</f>
        <v>0</v>
      </c>
      <c r="P20" s="299"/>
    </row>
    <row r="21" spans="1:16" ht="18.75">
      <c r="A21" s="300"/>
      <c r="B21" s="344" t="str">
        <f>B12</f>
        <v>Conc. Sand</v>
      </c>
      <c r="C21" s="345"/>
      <c r="D21" s="423">
        <f>IF('QMC Gradation'!$D$20&lt;10,ROUND('QMC Gradation'!$D$20,1),ROUND('QMC Gradation'!$D$20,0))</f>
        <v>100</v>
      </c>
      <c r="E21" s="423">
        <f>IF('QMC Gradation'!$D$21&lt;10,ROUND('QMC Gradation'!$D$21,1),ROUND('QMC Gradation'!$D$21,0))</f>
        <v>100</v>
      </c>
      <c r="F21" s="423">
        <f>IF('QMC Gradation'!$D$22&lt;10,ROUND('QMC Gradation'!$D$22,1),ROUND('QMC Gradation'!$D$22,0))</f>
        <v>100</v>
      </c>
      <c r="G21" s="423">
        <f>IF('QMC Gradation'!$D$23&lt;10,ROUND('QMC Gradation'!$D$23,1),ROUND('QMC Gradation'!$D$23,0))</f>
        <v>0</v>
      </c>
      <c r="H21" s="423">
        <f>IF('QMC Gradation'!$D$24&lt;10,ROUND('QMC Gradation'!$D$24,1),ROUND('QMC Gradation'!$D$24,0))</f>
        <v>0</v>
      </c>
      <c r="I21" s="423">
        <f>IF('QMC Gradation'!$D$25&lt;10,ROUND('QMC Gradation'!$D$25,1),ROUND('QMC Gradation'!$D$25,0))</f>
        <v>0</v>
      </c>
      <c r="J21" s="423">
        <f>IF('QMC Gradation'!$D$26&lt;10,ROUND('QMC Gradation'!$D$26,1),ROUND('QMC Gradation'!$D$26,0))</f>
        <v>0</v>
      </c>
      <c r="K21" s="424">
        <f>IF('QMC Gradation'!$D$27&lt;10,ROUND('QMC Gradation'!$B$27,1),ROUND('QMC Gradation'!$D$27,0))</f>
        <v>0</v>
      </c>
      <c r="L21" s="424">
        <f>IF('QMC Gradation'!$D$28&lt;10,ROUND('QMC Gradation'!$D$28,1),ROUND('QMC Gradation'!$D$28,0))</f>
        <v>0</v>
      </c>
      <c r="M21" s="424">
        <f>IF('QMC Gradation'!$D$29&lt;10,ROUND('QMC Gradation'!$D$29,1),ROUND('QMC Gradation'!$D$29,0))</f>
        <v>0</v>
      </c>
      <c r="N21" s="424">
        <f>IF('QMC Gradation'!$D$30&lt;10,ROUND('QMC Gradation'!$D$30,1),ROUND('QMC Gradation'!$D$30,0))</f>
        <v>0</v>
      </c>
      <c r="O21" s="423">
        <f>IF('QMC Gradation'!$D$31&lt;10,ROUND('QMC Gradation'!$D$31,1),ROUND('QMC Gradation'!$D$31,0))</f>
        <v>0</v>
      </c>
      <c r="P21" s="299"/>
    </row>
    <row r="22" spans="1:16" ht="18.75">
      <c r="A22" s="300"/>
      <c r="B22" s="348" t="s">
        <v>1254</v>
      </c>
      <c r="C22" s="349"/>
      <c r="D22" s="350" t="s">
        <v>1254</v>
      </c>
      <c r="E22" s="350" t="s">
        <v>1254</v>
      </c>
      <c r="F22" s="350" t="s">
        <v>1254</v>
      </c>
      <c r="G22" s="350" t="s">
        <v>1254</v>
      </c>
      <c r="H22" s="350" t="s">
        <v>1254</v>
      </c>
      <c r="I22" s="350" t="s">
        <v>1254</v>
      </c>
      <c r="J22" s="350" t="s">
        <v>1254</v>
      </c>
      <c r="K22" s="350" t="s">
        <v>1254</v>
      </c>
      <c r="L22" s="350" t="s">
        <v>1254</v>
      </c>
      <c r="M22" s="350" t="s">
        <v>1254</v>
      </c>
      <c r="N22" s="350" t="s">
        <v>1254</v>
      </c>
      <c r="O22" s="350" t="s">
        <v>1254</v>
      </c>
      <c r="P22" s="299"/>
    </row>
    <row r="23" spans="1:16" ht="18.75">
      <c r="A23" s="300"/>
      <c r="B23" s="298"/>
      <c r="C23" s="298"/>
      <c r="D23" s="351"/>
      <c r="E23" s="351"/>
      <c r="F23" s="351"/>
      <c r="G23" s="351"/>
      <c r="H23" s="351"/>
      <c r="I23" s="351"/>
      <c r="J23" s="351"/>
      <c r="K23" s="351"/>
      <c r="L23" s="351"/>
      <c r="M23" s="351"/>
      <c r="N23" s="351"/>
      <c r="O23" s="351"/>
      <c r="P23" s="299"/>
    </row>
    <row r="24" spans="1:16" ht="18.75">
      <c r="A24" s="300"/>
      <c r="B24" s="313"/>
      <c r="C24" s="313"/>
      <c r="D24" s="313"/>
      <c r="E24" s="313"/>
      <c r="F24" s="313"/>
      <c r="G24" s="313"/>
      <c r="H24" s="313"/>
      <c r="I24" s="313"/>
      <c r="J24" s="313"/>
      <c r="K24" s="313"/>
      <c r="L24" s="313"/>
      <c r="M24" s="313"/>
      <c r="N24" s="313"/>
      <c r="O24" s="309"/>
      <c r="P24" s="299"/>
    </row>
    <row r="25" spans="1:16" ht="18.75">
      <c r="A25" s="300"/>
      <c r="B25" s="298" t="s">
        <v>1517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309"/>
      <c r="P25" s="299"/>
    </row>
    <row r="26" spans="1:16" ht="18.75">
      <c r="A26" s="300"/>
      <c r="B26" s="313"/>
      <c r="C26" s="313"/>
      <c r="D26" s="313"/>
      <c r="E26" s="313"/>
      <c r="F26" s="313"/>
      <c r="G26" s="313"/>
      <c r="H26" s="313"/>
      <c r="I26" s="313"/>
      <c r="J26" s="313"/>
      <c r="K26" s="313"/>
      <c r="L26" s="313"/>
      <c r="M26" s="313"/>
      <c r="N26" s="313"/>
      <c r="O26" s="309"/>
      <c r="P26" s="299"/>
    </row>
    <row r="27" spans="1:16" ht="18.75">
      <c r="A27" s="300"/>
      <c r="B27" s="336" t="s">
        <v>1518</v>
      </c>
      <c r="C27" s="337"/>
      <c r="D27" s="352">
        <f t="shared" ref="D27:I27" si="0">IF(D28+5&gt;100,100,D28+5)</f>
        <v>5</v>
      </c>
      <c r="E27" s="352">
        <f t="shared" si="0"/>
        <v>5</v>
      </c>
      <c r="F27" s="352">
        <f t="shared" si="0"/>
        <v>5</v>
      </c>
      <c r="G27" s="352">
        <f t="shared" si="0"/>
        <v>5</v>
      </c>
      <c r="H27" s="352">
        <f t="shared" si="0"/>
        <v>5</v>
      </c>
      <c r="I27" s="352">
        <f t="shared" si="0"/>
        <v>5</v>
      </c>
      <c r="J27" s="352">
        <f>IF(J28+4&gt;100,100,J28+4)</f>
        <v>4</v>
      </c>
      <c r="K27" s="353">
        <f>IF(K28+4&gt;100,100,K28+4)</f>
        <v>4</v>
      </c>
      <c r="L27" s="353">
        <f>IF(L28+4&gt;100,100,L28+4)</f>
        <v>4</v>
      </c>
      <c r="M27" s="353">
        <f>IF(M28+3&gt;100,100,M28+3)</f>
        <v>3</v>
      </c>
      <c r="N27" s="353">
        <f>IF(N28+2&gt;100,100,N28+2)</f>
        <v>2</v>
      </c>
      <c r="O27" s="353">
        <f>IF(O28=0,0,1.5)</f>
        <v>0</v>
      </c>
      <c r="P27" s="299"/>
    </row>
    <row r="28" spans="1:16" ht="18.75">
      <c r="A28" s="300"/>
      <c r="B28" s="344" t="s">
        <v>1519</v>
      </c>
      <c r="C28" s="298"/>
      <c r="D28" s="423">
        <f>IF('QMC Gradation'!E$20&lt;10,ROUND('QMC Gradation'!E$20,1),ROUND('QMC Gradation'!E$20,0))</f>
        <v>0</v>
      </c>
      <c r="E28" s="423">
        <f>IF('QMC Gradation'!E$21&lt;10,ROUND('QMC Gradation'!E$21,1),ROUND('QMC Gradation'!E$21,0))</f>
        <v>0</v>
      </c>
      <c r="F28" s="423">
        <f>IF('QMC Gradation'!E$22&lt;10,ROUND('QMC Gradation'!E$22,1),ROUND('QMC Gradation'!E$22,0))</f>
        <v>0</v>
      </c>
      <c r="G28" s="423">
        <f>IF('QMC Gradation'!E$23&lt;10,ROUND('QMC Gradation'!E$23,1),ROUND('QMC Gradation'!E$23,0))</f>
        <v>0</v>
      </c>
      <c r="H28" s="423">
        <f>IF('QMC Gradation'!E$24&lt;10,ROUND('QMC Gradation'!E$24,1),ROUND('QMC Gradation'!E$24,0))</f>
        <v>0</v>
      </c>
      <c r="I28" s="423">
        <f>IF('QMC Gradation'!E$25&lt;10,ROUND('QMC Gradation'!E$25,1),ROUND('QMC Gradation'!E$25,0))</f>
        <v>0</v>
      </c>
      <c r="J28" s="423">
        <f>IF('QMC Gradation'!E$26&lt;10,ROUND('QMC Gradation'!E$26,1),ROUND('QMC Gradation'!E$26,0))</f>
        <v>0</v>
      </c>
      <c r="K28" s="423">
        <f>IF('QMC Gradation'!E$27&lt;10,ROUND('QMC Gradation'!E$27,1),ROUND('QMC Gradation'!E$27,0))</f>
        <v>0</v>
      </c>
      <c r="L28" s="423">
        <f>IF('QMC Gradation'!E$28&lt;10,ROUND('QMC Gradation'!E$28,1),ROUND('QMC Gradation'!E$28,0))</f>
        <v>0</v>
      </c>
      <c r="M28" s="423">
        <f>IF('QMC Gradation'!E$29&lt;10,ROUND('QMC Gradation'!E$29,1),ROUND('QMC Gradation'!E$29,0))</f>
        <v>0</v>
      </c>
      <c r="N28" s="423">
        <f>IF('QMC Gradation'!E$30&lt;10,ROUND('QMC Gradation'!E$30,1),ROUND('QMC Gradation'!E$30,0))</f>
        <v>0</v>
      </c>
      <c r="O28" s="423">
        <f>IF('QMC Gradation'!E$31&lt;10,ROUND('QMC Gradation'!E$31,1),ROUND('QMC Gradation'!E$31,0))</f>
        <v>0</v>
      </c>
      <c r="P28" s="299"/>
    </row>
    <row r="29" spans="1:16" ht="18.75">
      <c r="A29" s="300"/>
      <c r="B29" s="348" t="s">
        <v>1520</v>
      </c>
      <c r="C29" s="349"/>
      <c r="D29" s="354">
        <f t="shared" ref="D29:I29" si="1">IF(D28-5&lt;0,0,D28-5)</f>
        <v>0</v>
      </c>
      <c r="E29" s="354">
        <f t="shared" si="1"/>
        <v>0</v>
      </c>
      <c r="F29" s="354">
        <f t="shared" si="1"/>
        <v>0</v>
      </c>
      <c r="G29" s="354">
        <f t="shared" si="1"/>
        <v>0</v>
      </c>
      <c r="H29" s="354">
        <f t="shared" si="1"/>
        <v>0</v>
      </c>
      <c r="I29" s="354">
        <f t="shared" si="1"/>
        <v>0</v>
      </c>
      <c r="J29" s="354">
        <f>IF(J28-4&lt;0,0,J28-4)</f>
        <v>0</v>
      </c>
      <c r="K29" s="355">
        <f>IF(K28-4&lt;0,0,K28-4)</f>
        <v>0</v>
      </c>
      <c r="L29" s="355">
        <f>IF(L28-4&lt;0,0,L28-4)</f>
        <v>0</v>
      </c>
      <c r="M29" s="355">
        <f>IF(M28-3&lt;0,0,M28-3)</f>
        <v>0</v>
      </c>
      <c r="N29" s="355">
        <f>IF(N28-2&lt;0,0,N28-2)</f>
        <v>0</v>
      </c>
      <c r="O29" s="355">
        <f>IF(O28-2&lt;0,0,O28-2)</f>
        <v>0</v>
      </c>
      <c r="P29" s="299"/>
    </row>
    <row r="30" spans="1:16" ht="18.75">
      <c r="A30" s="300"/>
      <c r="B30" s="313"/>
      <c r="C30" s="313"/>
      <c r="D30" s="313"/>
      <c r="E30" s="313"/>
      <c r="F30" s="313"/>
      <c r="G30" s="313"/>
      <c r="H30" s="313"/>
      <c r="I30" s="313"/>
      <c r="J30" s="313"/>
      <c r="K30" s="313"/>
      <c r="L30" s="313"/>
      <c r="M30" s="313"/>
      <c r="N30" s="313"/>
      <c r="O30" s="309"/>
      <c r="P30" s="299"/>
    </row>
    <row r="31" spans="1:16" ht="18.75">
      <c r="A31" s="300"/>
      <c r="B31" s="313"/>
      <c r="C31" s="313"/>
      <c r="D31" s="313"/>
      <c r="E31" s="313"/>
      <c r="F31" s="313"/>
      <c r="G31" s="313"/>
      <c r="H31" s="313"/>
      <c r="I31" s="313"/>
      <c r="J31" s="313"/>
      <c r="K31" s="313"/>
      <c r="L31" s="313"/>
      <c r="M31" s="313"/>
      <c r="N31" s="313"/>
      <c r="O31" s="309"/>
      <c r="P31" s="299"/>
    </row>
    <row r="32" spans="1:16" ht="18.75">
      <c r="A32" s="300"/>
      <c r="B32" s="313"/>
      <c r="C32" s="313"/>
      <c r="D32" s="313"/>
      <c r="E32" s="313"/>
      <c r="F32" s="313"/>
      <c r="G32" s="313"/>
      <c r="H32" s="313"/>
      <c r="I32" s="313"/>
      <c r="J32" s="313"/>
      <c r="K32" s="313"/>
      <c r="L32" s="313"/>
      <c r="M32" s="313"/>
      <c r="N32" s="313"/>
      <c r="O32" s="309"/>
      <c r="P32" s="299"/>
    </row>
    <row r="33" spans="1:16" ht="18.75">
      <c r="A33" s="300"/>
      <c r="B33" s="298" t="s">
        <v>1521</v>
      </c>
      <c r="C33" s="298"/>
      <c r="D33" s="717" t="s">
        <v>1254</v>
      </c>
      <c r="E33" s="717"/>
      <c r="F33" s="717"/>
      <c r="G33" s="717"/>
      <c r="H33" s="717"/>
      <c r="I33" s="717"/>
      <c r="J33" s="717"/>
      <c r="K33" s="717"/>
      <c r="L33" s="717"/>
      <c r="M33" s="717"/>
      <c r="N33" s="717"/>
      <c r="O33" s="309"/>
      <c r="P33" s="299"/>
    </row>
    <row r="34" spans="1:16" ht="18.75">
      <c r="A34" s="300"/>
      <c r="B34" s="717" t="s">
        <v>1254</v>
      </c>
      <c r="C34" s="718"/>
      <c r="D34" s="718"/>
      <c r="E34" s="718"/>
      <c r="F34" s="718"/>
      <c r="G34" s="718"/>
      <c r="H34" s="718"/>
      <c r="I34" s="718"/>
      <c r="J34" s="718"/>
      <c r="K34" s="718"/>
      <c r="L34" s="718"/>
      <c r="M34" s="718"/>
      <c r="N34" s="718"/>
      <c r="O34" s="309"/>
      <c r="P34" s="299"/>
    </row>
    <row r="35" spans="1:16" ht="18.75">
      <c r="A35" s="300"/>
      <c r="B35" s="313"/>
      <c r="C35" s="313"/>
      <c r="D35" s="313"/>
      <c r="E35" s="313"/>
      <c r="F35" s="313"/>
      <c r="G35" s="313"/>
      <c r="H35" s="313"/>
      <c r="I35" s="313"/>
      <c r="J35" s="313"/>
      <c r="K35" s="313"/>
      <c r="L35" s="313"/>
      <c r="M35" s="313"/>
      <c r="N35" s="313"/>
      <c r="O35" s="309"/>
      <c r="P35" s="299"/>
    </row>
    <row r="36" spans="1:16" ht="18.75">
      <c r="A36" s="300"/>
      <c r="B36" s="700" t="s">
        <v>1522</v>
      </c>
      <c r="C36" s="701"/>
      <c r="D36" s="701"/>
      <c r="E36" s="701"/>
      <c r="F36" s="701"/>
      <c r="G36" s="701"/>
      <c r="H36" s="701"/>
      <c r="I36" s="701"/>
      <c r="J36" s="701"/>
      <c r="K36" s="701"/>
      <c r="L36" s="701"/>
      <c r="M36" s="701"/>
      <c r="N36" s="701"/>
      <c r="O36" s="701"/>
      <c r="P36" s="299"/>
    </row>
    <row r="37" spans="1:16" ht="18.75">
      <c r="A37" s="300"/>
      <c r="B37" s="700" t="s">
        <v>1523</v>
      </c>
      <c r="C37" s="700"/>
      <c r="D37" s="700"/>
      <c r="E37" s="700"/>
      <c r="F37" s="700"/>
      <c r="G37" s="701"/>
      <c r="H37" s="701"/>
      <c r="I37" s="701"/>
      <c r="J37" s="701"/>
      <c r="K37" s="701"/>
      <c r="L37" s="701"/>
      <c r="M37" s="701"/>
      <c r="N37" s="701"/>
      <c r="O37" s="701"/>
      <c r="P37" s="299"/>
    </row>
    <row r="38" spans="1:16" ht="18.75">
      <c r="A38" s="300"/>
      <c r="B38" s="313" t="s">
        <v>1524</v>
      </c>
      <c r="C38" s="313"/>
      <c r="D38" s="313"/>
      <c r="E38" s="313"/>
      <c r="F38" s="313"/>
      <c r="G38" s="313"/>
      <c r="H38" s="313"/>
      <c r="I38" s="313"/>
      <c r="J38" s="313"/>
      <c r="K38" s="313"/>
      <c r="L38" s="313"/>
      <c r="M38" s="313"/>
      <c r="N38" s="313"/>
      <c r="O38" s="309"/>
      <c r="P38" s="299"/>
    </row>
    <row r="39" spans="1:16" ht="18.75">
      <c r="A39" s="300"/>
      <c r="B39" s="313"/>
      <c r="C39" s="313"/>
      <c r="D39" s="313"/>
      <c r="E39" s="313"/>
      <c r="F39" s="313"/>
      <c r="G39" s="313"/>
      <c r="H39" s="313"/>
      <c r="I39" s="313"/>
      <c r="J39" s="313"/>
      <c r="K39" s="313"/>
      <c r="L39" s="313"/>
      <c r="M39" s="313"/>
      <c r="N39" s="313"/>
      <c r="O39" s="309"/>
      <c r="P39" s="299"/>
    </row>
    <row r="40" spans="1:16" ht="18.75">
      <c r="A40" s="300"/>
      <c r="B40" s="700"/>
      <c r="C40" s="700"/>
      <c r="D40" s="700"/>
      <c r="E40" s="700"/>
      <c r="F40" s="700"/>
      <c r="G40" s="313"/>
      <c r="H40" s="313"/>
      <c r="I40" s="313" t="s">
        <v>1525</v>
      </c>
      <c r="J40" s="313"/>
      <c r="K40" s="313"/>
      <c r="L40" s="313"/>
      <c r="M40" s="313"/>
      <c r="N40" s="313"/>
      <c r="O40" s="309"/>
      <c r="P40" s="299"/>
    </row>
    <row r="41" spans="1:16" ht="18.75">
      <c r="A41" s="300"/>
      <c r="B41" s="351" t="s">
        <v>1526</v>
      </c>
      <c r="C41" s="702"/>
      <c r="D41" s="702"/>
      <c r="E41" s="702"/>
      <c r="F41" s="702"/>
      <c r="G41" s="702"/>
      <c r="H41" s="310" t="s">
        <v>1466</v>
      </c>
      <c r="I41" s="356"/>
      <c r="J41" s="357" t="s">
        <v>1526</v>
      </c>
      <c r="K41" s="702"/>
      <c r="L41" s="702"/>
      <c r="M41" s="702"/>
      <c r="N41" s="702"/>
      <c r="O41" s="309"/>
      <c r="P41" s="299"/>
    </row>
    <row r="42" spans="1:16" ht="18.75">
      <c r="A42" s="300"/>
      <c r="B42" s="313"/>
      <c r="C42" s="313"/>
      <c r="D42" s="298" t="s">
        <v>1527</v>
      </c>
      <c r="E42" s="298"/>
      <c r="F42" s="298"/>
      <c r="G42" s="313"/>
      <c r="H42" s="310" t="s">
        <v>1528</v>
      </c>
      <c r="I42" s="358"/>
      <c r="J42" s="313"/>
      <c r="K42" s="298" t="s">
        <v>1529</v>
      </c>
      <c r="L42" s="298"/>
      <c r="M42" s="298"/>
      <c r="N42" s="313"/>
      <c r="O42" s="309"/>
      <c r="P42" s="299"/>
    </row>
    <row r="43" spans="1:16" ht="18.75">
      <c r="A43" s="300"/>
      <c r="B43" s="313"/>
      <c r="C43" s="313"/>
      <c r="D43" s="298"/>
      <c r="E43" s="298"/>
      <c r="F43" s="298"/>
      <c r="G43" s="313"/>
      <c r="H43" s="310" t="s">
        <v>1528</v>
      </c>
      <c r="I43" s="358"/>
      <c r="J43" s="313"/>
      <c r="K43" s="298"/>
      <c r="L43" s="298"/>
      <c r="M43" s="298"/>
      <c r="N43" s="313"/>
      <c r="O43" s="309"/>
      <c r="P43" s="299"/>
    </row>
    <row r="44" spans="1:16" ht="18.75">
      <c r="A44" s="300"/>
      <c r="B44" s="351" t="s">
        <v>1526</v>
      </c>
      <c r="C44" s="702"/>
      <c r="D44" s="702"/>
      <c r="E44" s="702"/>
      <c r="F44" s="702"/>
      <c r="G44" s="702"/>
      <c r="H44" s="310" t="s">
        <v>1468</v>
      </c>
      <c r="I44" s="356"/>
      <c r="J44" s="357" t="s">
        <v>1526</v>
      </c>
      <c r="K44" s="702"/>
      <c r="L44" s="702"/>
      <c r="M44" s="702"/>
      <c r="N44" s="702"/>
      <c r="O44" s="309"/>
      <c r="P44" s="299"/>
    </row>
    <row r="45" spans="1:16" ht="18.75">
      <c r="A45" s="300"/>
      <c r="B45" s="313"/>
      <c r="C45" s="313"/>
      <c r="D45" s="298" t="s">
        <v>1527</v>
      </c>
      <c r="E45" s="298"/>
      <c r="F45" s="298"/>
      <c r="G45" s="313"/>
      <c r="H45" s="313"/>
      <c r="I45" s="313"/>
      <c r="J45" s="313"/>
      <c r="K45" s="298" t="s">
        <v>1529</v>
      </c>
      <c r="L45" s="298"/>
      <c r="M45" s="298"/>
      <c r="N45" s="313"/>
      <c r="O45" s="309"/>
      <c r="P45" s="299"/>
    </row>
    <row r="46" spans="1:16" ht="18">
      <c r="A46" s="359"/>
      <c r="B46" s="309"/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  <c r="P46" s="299"/>
    </row>
    <row r="47" spans="1:16">
      <c r="A47" s="359"/>
      <c r="P47" s="299"/>
    </row>
    <row r="48" spans="1:16">
      <c r="A48" s="359"/>
      <c r="P48" s="299"/>
    </row>
    <row r="49" spans="1:16">
      <c r="A49" s="360"/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361"/>
    </row>
  </sheetData>
  <sheetProtection algorithmName="SHA-512" hashValue="dxSC+nFrxRiM/X8HyzyCC53dJEHn6zqbYHdjcbqJIL1+ESgGs2He278xo353abk/xxVsfFI8aqiyO8Dbm+xzMw==" saltValue="yQ638NEc+Hmv/6kcrZ4JRg==" spinCount="100000" sheet="1" objects="1" scenarios="1"/>
  <mergeCells count="18">
    <mergeCell ref="B36:O36"/>
    <mergeCell ref="D5:E5"/>
    <mergeCell ref="H5:K5"/>
    <mergeCell ref="M5:N5"/>
    <mergeCell ref="D6:I6"/>
    <mergeCell ref="M6:N6"/>
    <mergeCell ref="H7:I7"/>
    <mergeCell ref="D8:F8"/>
    <mergeCell ref="I8:J8"/>
    <mergeCell ref="M8:N8"/>
    <mergeCell ref="D33:N33"/>
    <mergeCell ref="B34:N34"/>
    <mergeCell ref="B37:O37"/>
    <mergeCell ref="B40:F40"/>
    <mergeCell ref="C41:G41"/>
    <mergeCell ref="K41:N41"/>
    <mergeCell ref="C44:G44"/>
    <mergeCell ref="K44:N44"/>
  </mergeCells>
  <pageMargins left="0.75" right="0.75" top="1" bottom="1" header="0.5" footer="0.5"/>
  <pageSetup scale="65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179BE-4893-4209-8AB9-72B94B597045}">
  <sheetPr codeName="Sheet13">
    <tabColor rgb="FFFFC000"/>
  </sheetPr>
  <dimension ref="A1:L82"/>
  <sheetViews>
    <sheetView view="pageBreakPreview" zoomScale="60" zoomScaleNormal="75" workbookViewId="0">
      <selection activeCell="B5" sqref="B5"/>
    </sheetView>
  </sheetViews>
  <sheetFormatPr defaultColWidth="8.77734375" defaultRowHeight="15"/>
  <cols>
    <col min="1" max="1" width="30.21875" style="363" customWidth="1"/>
    <col min="2" max="2" width="24.109375" style="363" customWidth="1"/>
    <col min="3" max="3" width="10.77734375" style="363" customWidth="1"/>
    <col min="4" max="4" width="6.21875" style="363" customWidth="1"/>
    <col min="5" max="5" width="6.77734375" style="363" customWidth="1"/>
    <col min="6" max="6" width="7.109375" style="363" customWidth="1"/>
    <col min="7" max="7" width="10.5546875" style="363" customWidth="1"/>
    <col min="8" max="8" width="8.77734375" style="363" customWidth="1"/>
    <col min="9" max="11" width="12.77734375" style="363" customWidth="1"/>
    <col min="12" max="12" width="7.109375" style="205" customWidth="1"/>
    <col min="13" max="16384" width="8.77734375" style="205"/>
  </cols>
  <sheetData>
    <row r="1" spans="1:12" ht="15.75" customHeight="1">
      <c r="A1" s="204" t="s">
        <v>1753</v>
      </c>
      <c r="B1" s="205"/>
      <c r="C1" s="205"/>
      <c r="D1" s="205"/>
      <c r="E1" s="205"/>
      <c r="F1" s="205"/>
      <c r="G1" s="205"/>
      <c r="H1" s="205"/>
      <c r="I1" s="205"/>
      <c r="J1" s="380" t="s">
        <v>1576</v>
      </c>
      <c r="K1" s="607">
        <v>1.5</v>
      </c>
    </row>
    <row r="2" spans="1:12" ht="15.75" customHeight="1">
      <c r="D2" s="364"/>
      <c r="E2" s="364"/>
      <c r="J2" s="380" t="s">
        <v>1577</v>
      </c>
      <c r="K2" s="607">
        <v>2</v>
      </c>
    </row>
    <row r="3" spans="1:12" ht="15.75" customHeight="1">
      <c r="A3" s="362" t="s">
        <v>1532</v>
      </c>
      <c r="J3" s="380" t="s">
        <v>1580</v>
      </c>
      <c r="K3" s="608" t="s">
        <v>1255</v>
      </c>
    </row>
    <row r="4" spans="1:12" ht="15.75" customHeight="1">
      <c r="A4" s="365" t="s">
        <v>1531</v>
      </c>
      <c r="B4" s="366" t="str">
        <f>IF('Mix Info'!B2="","",'Mix Info'!B2)</f>
        <v/>
      </c>
      <c r="J4" s="380" t="s">
        <v>1581</v>
      </c>
      <c r="K4" s="608" t="s">
        <v>1255</v>
      </c>
    </row>
    <row r="5" spans="1:12" ht="15.75" customHeight="1">
      <c r="A5" s="367" t="s">
        <v>1754</v>
      </c>
      <c r="B5" s="515"/>
    </row>
    <row r="6" spans="1:12" ht="15.75" customHeight="1">
      <c r="A6" s="367" t="s">
        <v>1533</v>
      </c>
      <c r="B6" s="368" t="str">
        <f>IF('Mix Info'!B3="","",'Mix Info'!B3)</f>
        <v/>
      </c>
    </row>
    <row r="7" spans="1:12" ht="15.75" customHeight="1">
      <c r="A7" s="367" t="s">
        <v>1534</v>
      </c>
      <c r="B7" s="369">
        <f>IF(' Form E820150'!B7="","",' Form E820150'!B7)</f>
        <v>0</v>
      </c>
      <c r="C7" s="363" t="str">
        <f>IF(K3="X","   All materials meet applicable Iowa DOT specifications", " ")</f>
        <v xml:space="preserve">   All materials meet applicable Iowa DOT specifications</v>
      </c>
    </row>
    <row r="8" spans="1:12" ht="15.75" customHeight="1">
      <c r="A8" s="371" t="s">
        <v>1530</v>
      </c>
      <c r="B8" s="372" t="str">
        <f>IF('Mix Info'!B5="","",'Mix Info'!B5)</f>
        <v/>
      </c>
      <c r="C8" s="363" t="str">
        <f>IF(K4="X","   All materials meet applicable ASTM specifications", " ")</f>
        <v xml:space="preserve">   All materials meet applicable ASTM specifications</v>
      </c>
    </row>
    <row r="9" spans="1:12" ht="15.75" customHeight="1">
      <c r="B9" s="373"/>
    </row>
    <row r="10" spans="1:12" ht="15.75" customHeight="1"/>
    <row r="11" spans="1:12" ht="15.75" customHeight="1">
      <c r="A11" s="362" t="s">
        <v>1536</v>
      </c>
      <c r="B11" s="227" t="s">
        <v>1537</v>
      </c>
      <c r="C11" s="227" t="s">
        <v>1538</v>
      </c>
      <c r="D11" s="227" t="s">
        <v>1539</v>
      </c>
      <c r="E11" s="227" t="s">
        <v>1540</v>
      </c>
      <c r="F11" s="227"/>
      <c r="G11" s="374" t="s">
        <v>1541</v>
      </c>
      <c r="H11" s="370"/>
      <c r="L11" s="363"/>
    </row>
    <row r="12" spans="1:12" ht="15.75" customHeight="1">
      <c r="A12" s="365" t="s">
        <v>1535</v>
      </c>
      <c r="B12" s="375" t="str">
        <f>IF(' Form E820150'!E9="","",' Form E820150'!E9)</f>
        <v/>
      </c>
      <c r="C12" s="376" t="str">
        <f>IF(' Form E820150'!I7="","",' Form E820150'!I7)</f>
        <v/>
      </c>
      <c r="D12" s="427" t="str">
        <f>IF(' Form E820150'!I9="","",' Form E820150'!I9)</f>
        <v/>
      </c>
      <c r="E12" s="376"/>
      <c r="F12" s="377"/>
      <c r="G12" s="378">
        <f>IF(' Form E820150'!I28="",0,' Form E820150'!I28)</f>
        <v>0</v>
      </c>
      <c r="K12" s="205"/>
    </row>
    <row r="13" spans="1:12" ht="15.75" customHeight="1">
      <c r="A13" s="367" t="s">
        <v>1542</v>
      </c>
      <c r="B13" s="379" t="str">
        <f>IF(' Form E820150'!E11="","",' Form E820150'!E11)</f>
        <v/>
      </c>
      <c r="C13" s="381" t="str">
        <f>IF('Mix Info'!B11="","",'Mix Info'!B11)</f>
        <v/>
      </c>
      <c r="D13" s="382" t="str">
        <f>IF(' Form E820150'!I11="","",' Form E820150'!I11)</f>
        <v/>
      </c>
      <c r="E13" s="382" t="str">
        <f>IF(' Form E820150'!B11="","",' Form E820150'!B11)</f>
        <v/>
      </c>
      <c r="F13" s="270"/>
      <c r="G13" s="383">
        <f>IF(' Form E820150'!I30="",0,' Form E820150'!I30)</f>
        <v>0</v>
      </c>
    </row>
    <row r="14" spans="1:12" ht="15.75" customHeight="1">
      <c r="A14" s="367" t="s">
        <v>1575</v>
      </c>
      <c r="B14" s="379" t="str">
        <f>IF(' Form E820150'!E13="","",' Form E820150'!E13)</f>
        <v/>
      </c>
      <c r="C14" s="381"/>
      <c r="D14" s="382" t="str">
        <f>IF(' Form E820150'!I13="","",' Form E820150'!I13)</f>
        <v/>
      </c>
      <c r="E14" s="382" t="str">
        <f>IF(' Form E820150'!B13="","",' Form E820150'!B13)</f>
        <v/>
      </c>
      <c r="F14" s="270"/>
      <c r="G14" s="383">
        <f>IF(' Form E820150'!I32="",0,' Form E820150'!I32)</f>
        <v>0</v>
      </c>
    </row>
    <row r="15" spans="1:12" ht="15.75" customHeight="1">
      <c r="A15" s="367" t="s">
        <v>1544</v>
      </c>
      <c r="B15" s="379" t="str">
        <f>IF(' Form E820150'!B25="","",' Form E820150'!B25)</f>
        <v/>
      </c>
      <c r="C15" s="381"/>
      <c r="D15" s="382">
        <v>1</v>
      </c>
      <c r="E15" s="382"/>
      <c r="F15" s="270"/>
      <c r="G15" s="385">
        <f>IF(' Form E820150'!I34="",0,' Form E820150'!I34)</f>
        <v>0</v>
      </c>
    </row>
    <row r="16" spans="1:12" ht="15.75" customHeight="1">
      <c r="A16" s="367" t="s">
        <v>1545</v>
      </c>
      <c r="B16" s="384" t="str">
        <f>IF(' Form E820150'!E61="","",' Form E820150'!E61)</f>
        <v/>
      </c>
      <c r="C16" s="387"/>
      <c r="F16" s="383"/>
      <c r="G16" s="385">
        <f>IF(' Form E820150'!I36="",0,' Form E820150'!I36)</f>
        <v>0.06</v>
      </c>
    </row>
    <row r="17" spans="1:11" ht="15.75" customHeight="1">
      <c r="A17" s="367" t="s">
        <v>1546</v>
      </c>
      <c r="B17" s="379" t="str">
        <f>IF(' Form E820150'!D21="","",' Form E820150'!D21)</f>
        <v/>
      </c>
      <c r="C17" s="401"/>
      <c r="D17" s="381" t="str">
        <f>IF(' Form E820150'!I21="","",' Form E820150'!I21)</f>
        <v/>
      </c>
      <c r="E17" s="382"/>
      <c r="F17" s="270"/>
      <c r="G17" s="383">
        <f>IF(' Form E820150'!I42="",0,' Form E820150'!I42)</f>
        <v>0</v>
      </c>
      <c r="K17" s="205"/>
    </row>
    <row r="18" spans="1:11" ht="15.75" customHeight="1">
      <c r="A18" s="367" t="s">
        <v>1552</v>
      </c>
      <c r="B18" s="379" t="str">
        <f>IF(' Form E820150'!D22="","",' Form E820150'!D22)</f>
        <v/>
      </c>
      <c r="C18" s="381"/>
      <c r="D18" s="381" t="str">
        <f>IF(' Form E820150'!I22="","",' Form E820150'!I22)</f>
        <v/>
      </c>
      <c r="E18" s="382"/>
      <c r="F18" s="386"/>
      <c r="G18" s="385">
        <f>IF(' Form E820150'!I43=" ",0,' Form E820150'!I43)</f>
        <v>0</v>
      </c>
      <c r="H18" s="367"/>
      <c r="K18" s="205"/>
    </row>
    <row r="19" spans="1:11" ht="15.75" customHeight="1">
      <c r="A19" s="367" t="s">
        <v>1548</v>
      </c>
      <c r="B19" s="379" t="str">
        <f>IF(' Form E820150'!D23="","",' Form E820150'!D23)</f>
        <v/>
      </c>
      <c r="C19" s="381"/>
      <c r="D19" s="381" t="str">
        <f>IF(' Form E820150'!I23="","",' Form E820150'!I23)</f>
        <v/>
      </c>
      <c r="E19" s="382"/>
      <c r="F19" s="386"/>
      <c r="G19" s="383">
        <f>IF(' Form E820150'!I44="",0,' Form E820150'!I44)</f>
        <v>0</v>
      </c>
      <c r="K19" s="205"/>
    </row>
    <row r="20" spans="1:11" ht="15.75" customHeight="1">
      <c r="A20" s="367" t="s">
        <v>1559</v>
      </c>
      <c r="B20" s="384" t="str">
        <f>IF(' Form E820150'!E61="","",' Form E820150'!E61)</f>
        <v/>
      </c>
      <c r="C20" s="387"/>
      <c r="D20" s="379"/>
      <c r="F20" s="383"/>
      <c r="G20" s="385"/>
      <c r="K20" s="205"/>
    </row>
    <row r="21" spans="1:11" ht="15.75" customHeight="1">
      <c r="A21" s="367" t="s">
        <v>1422</v>
      </c>
      <c r="B21" s="384" t="str">
        <f>IF(' Form E820150'!E62="","",' Form E820150'!E62)</f>
        <v/>
      </c>
      <c r="C21" s="387"/>
      <c r="G21" s="426"/>
      <c r="K21" s="205"/>
    </row>
    <row r="22" spans="1:11" ht="15.75" customHeight="1">
      <c r="A22" s="367" t="s">
        <v>1423</v>
      </c>
      <c r="B22" s="384" t="str">
        <f>IF(' Form E820150'!E63="","",' Form E820150'!E63)</f>
        <v/>
      </c>
      <c r="C22" s="387"/>
      <c r="F22" s="383"/>
      <c r="G22" s="383"/>
    </row>
    <row r="23" spans="1:11" ht="15.75" customHeight="1">
      <c r="A23" s="367" t="s">
        <v>1424</v>
      </c>
      <c r="B23" s="384" t="str">
        <f>IF(' Form E820150'!E64="","",' Form E820150'!E64)</f>
        <v/>
      </c>
      <c r="C23" s="387"/>
      <c r="F23" s="383"/>
      <c r="G23" s="383"/>
      <c r="K23" s="205"/>
    </row>
    <row r="24" spans="1:11" ht="15.75" customHeight="1">
      <c r="A24" s="367" t="s">
        <v>255</v>
      </c>
      <c r="B24" s="384" t="str">
        <f>IF(' Form E820150'!E65="","",' Form E820150'!E65)</f>
        <v/>
      </c>
      <c r="C24" s="387"/>
      <c r="F24" s="383"/>
      <c r="G24" s="383"/>
      <c r="K24" s="205"/>
    </row>
    <row r="25" spans="1:11" ht="15.75" customHeight="1">
      <c r="A25" s="367" t="s">
        <v>1567</v>
      </c>
      <c r="B25" s="379"/>
      <c r="C25" s="381"/>
      <c r="F25" s="383"/>
      <c r="G25" s="383"/>
      <c r="K25" s="205"/>
    </row>
    <row r="26" spans="1:11" ht="15.75" customHeight="1">
      <c r="A26" s="367" t="s">
        <v>1547</v>
      </c>
      <c r="B26" s="387"/>
      <c r="C26" s="381"/>
      <c r="F26" s="383"/>
      <c r="G26" s="385"/>
      <c r="K26" s="205"/>
    </row>
    <row r="27" spans="1:11" ht="15.75" customHeight="1">
      <c r="A27" s="371"/>
      <c r="B27" s="388"/>
      <c r="C27" s="398"/>
      <c r="D27" s="389"/>
      <c r="E27" s="389"/>
      <c r="F27" s="390"/>
      <c r="G27" s="391"/>
      <c r="K27" s="205"/>
    </row>
    <row r="28" spans="1:11" ht="15.75" customHeight="1"/>
    <row r="29" spans="1:11" ht="15.75" customHeight="1">
      <c r="A29" s="362" t="s">
        <v>1549</v>
      </c>
      <c r="B29" s="364"/>
    </row>
    <row r="30" spans="1:11" ht="15.75" customHeight="1">
      <c r="A30" s="392"/>
      <c r="B30" s="376" t="s">
        <v>1550</v>
      </c>
      <c r="C30" s="376" t="s">
        <v>1550</v>
      </c>
      <c r="D30" s="376"/>
      <c r="E30" s="376"/>
      <c r="F30" s="376"/>
      <c r="G30" s="376"/>
      <c r="H30" s="376"/>
      <c r="I30" s="376" t="s">
        <v>1551</v>
      </c>
      <c r="J30" s="376" t="s">
        <v>1551</v>
      </c>
      <c r="K30" s="393" t="s">
        <v>1551</v>
      </c>
    </row>
    <row r="31" spans="1:11" ht="15.75" customHeight="1">
      <c r="A31" s="394"/>
      <c r="B31" s="381" t="s">
        <v>1579</v>
      </c>
      <c r="C31" s="381" t="s">
        <v>1553</v>
      </c>
      <c r="D31" s="381"/>
      <c r="E31" s="381"/>
      <c r="F31" s="381"/>
      <c r="G31" s="381"/>
      <c r="H31" s="381"/>
      <c r="I31" s="381" t="s">
        <v>187</v>
      </c>
      <c r="J31" s="381" t="s">
        <v>187</v>
      </c>
      <c r="K31" s="395" t="s">
        <v>187</v>
      </c>
    </row>
    <row r="32" spans="1:11" ht="15.75" customHeight="1">
      <c r="A32" s="394"/>
      <c r="B32" s="381" t="s">
        <v>1554</v>
      </c>
      <c r="C32" s="381" t="s">
        <v>1554</v>
      </c>
      <c r="D32" s="381"/>
      <c r="E32" s="381"/>
      <c r="F32" s="381"/>
      <c r="G32" s="381"/>
      <c r="H32" s="381"/>
      <c r="I32" s="381" t="s">
        <v>1554</v>
      </c>
      <c r="J32" s="381" t="s">
        <v>1554</v>
      </c>
      <c r="K32" s="395" t="s">
        <v>1555</v>
      </c>
    </row>
    <row r="33" spans="1:11" ht="15.75" customHeight="1">
      <c r="A33" s="396"/>
      <c r="B33" s="397" t="s">
        <v>1556</v>
      </c>
      <c r="C33" s="398" t="s">
        <v>1557</v>
      </c>
      <c r="D33" s="398"/>
      <c r="E33" s="398"/>
      <c r="F33" s="398"/>
      <c r="G33" s="398"/>
      <c r="H33" s="398"/>
      <c r="I33" s="398" t="s">
        <v>1557</v>
      </c>
      <c r="J33" s="398" t="s">
        <v>1556</v>
      </c>
      <c r="K33" s="399">
        <f>IF($K$1="","",$K$1)</f>
        <v>1.5</v>
      </c>
    </row>
    <row r="34" spans="1:11" ht="15.75" customHeight="1">
      <c r="A34" s="367" t="s">
        <v>1535</v>
      </c>
      <c r="B34" s="400">
        <f>$G$12</f>
        <v>0</v>
      </c>
      <c r="C34" s="382">
        <f>$B$34*27</f>
        <v>0</v>
      </c>
      <c r="D34" s="381" t="s">
        <v>1255</v>
      </c>
      <c r="E34" s="382" t="str">
        <f>D12</f>
        <v/>
      </c>
      <c r="F34" s="381" t="s">
        <v>1255</v>
      </c>
      <c r="G34" s="387">
        <v>62.4</v>
      </c>
      <c r="H34" s="381" t="s">
        <v>1558</v>
      </c>
      <c r="I34" s="387">
        <f>J34/27</f>
        <v>0</v>
      </c>
      <c r="J34" s="401">
        <f>IF(' Form E820150'!E53="",0,' Form E820150'!E53)</f>
        <v>0</v>
      </c>
      <c r="K34" s="402">
        <f>(J34/27)*$K$1</f>
        <v>0</v>
      </c>
    </row>
    <row r="35" spans="1:11" ht="15.75" customHeight="1">
      <c r="A35" s="367"/>
      <c r="B35" s="400"/>
      <c r="C35" s="382"/>
      <c r="E35" s="382"/>
      <c r="G35" s="387"/>
      <c r="I35" s="387"/>
      <c r="J35" s="401"/>
      <c r="K35" s="402"/>
    </row>
    <row r="36" spans="1:11" ht="15.75" customHeight="1">
      <c r="A36" s="367" t="s">
        <v>1542</v>
      </c>
      <c r="B36" s="400">
        <f>$G$13</f>
        <v>0</v>
      </c>
      <c r="C36" s="382">
        <f>$B$36*27</f>
        <v>0</v>
      </c>
      <c r="D36" s="381" t="s">
        <v>1255</v>
      </c>
      <c r="E36" s="382" t="str">
        <f>IF(D13=0,0,D13)</f>
        <v/>
      </c>
      <c r="F36" s="381" t="s">
        <v>1255</v>
      </c>
      <c r="G36" s="387">
        <f>IF(D13=0,0,62.4)</f>
        <v>62.4</v>
      </c>
      <c r="H36" s="381" t="s">
        <v>1558</v>
      </c>
      <c r="I36" s="387">
        <f>J36/27</f>
        <v>0</v>
      </c>
      <c r="J36" s="401">
        <f>IF(' Form E820150'!E54="",0,' Form E820150'!E54)</f>
        <v>0</v>
      </c>
      <c r="K36" s="402">
        <f>(J36/27)*$K$1</f>
        <v>0</v>
      </c>
    </row>
    <row r="37" spans="1:11" ht="15.75" customHeight="1">
      <c r="A37" s="367"/>
      <c r="B37" s="400"/>
      <c r="C37" s="382"/>
      <c r="D37" s="403"/>
      <c r="E37" s="382"/>
      <c r="F37" s="403"/>
      <c r="G37" s="387"/>
      <c r="H37" s="403"/>
      <c r="I37" s="387"/>
      <c r="J37" s="401"/>
      <c r="K37" s="402"/>
    </row>
    <row r="38" spans="1:11" ht="15.75" customHeight="1">
      <c r="A38" s="367" t="s">
        <v>1543</v>
      </c>
      <c r="B38" s="400">
        <f>$G$14</f>
        <v>0</v>
      </c>
      <c r="C38" s="382">
        <f>$B$38*27</f>
        <v>0</v>
      </c>
      <c r="D38" s="381" t="s">
        <v>1255</v>
      </c>
      <c r="E38" s="382" t="str">
        <f>IF(D14=0,0,D14)</f>
        <v/>
      </c>
      <c r="F38" s="381" t="s">
        <v>1255</v>
      </c>
      <c r="G38" s="387" t="str">
        <f>IF(D14=0,0,"62.4")</f>
        <v>62.4</v>
      </c>
      <c r="H38" s="381" t="s">
        <v>1558</v>
      </c>
      <c r="I38" s="387">
        <f>J38/27</f>
        <v>0</v>
      </c>
      <c r="J38" s="401">
        <f>IF(' Form E820150'!E55="",0,' Form E820150'!E55)</f>
        <v>0</v>
      </c>
      <c r="K38" s="402">
        <f>(J38/27)*$K$1</f>
        <v>0</v>
      </c>
    </row>
    <row r="39" spans="1:11" ht="15.75" customHeight="1">
      <c r="A39" s="367"/>
      <c r="B39" s="400"/>
      <c r="C39" s="382"/>
      <c r="D39" s="403"/>
      <c r="E39" s="382"/>
      <c r="F39" s="403"/>
      <c r="G39" s="387"/>
      <c r="H39" s="403"/>
      <c r="I39" s="387"/>
      <c r="J39" s="530">
        <f>SUM(J34:J38)</f>
        <v>0</v>
      </c>
      <c r="K39" s="404"/>
    </row>
    <row r="40" spans="1:11" ht="15.75" customHeight="1">
      <c r="A40" s="405" t="s">
        <v>1561</v>
      </c>
      <c r="B40" s="400">
        <f>$G$15</f>
        <v>0</v>
      </c>
      <c r="C40" s="382">
        <f>$B$40*27</f>
        <v>0</v>
      </c>
      <c r="D40" s="381" t="s">
        <v>1255</v>
      </c>
      <c r="E40" s="382">
        <v>1</v>
      </c>
      <c r="F40" s="381" t="s">
        <v>1255</v>
      </c>
      <c r="G40" s="387">
        <v>62.4</v>
      </c>
      <c r="H40" s="381" t="s">
        <v>1558</v>
      </c>
      <c r="I40" s="387">
        <f>J40/27</f>
        <v>0</v>
      </c>
      <c r="J40" s="401">
        <f>IF(' Form E820150'!E56="",0,' Form E820150'!E56)</f>
        <v>0</v>
      </c>
      <c r="K40" s="402">
        <f>(J40/27)*$K$1</f>
        <v>0</v>
      </c>
    </row>
    <row r="41" spans="1:11" ht="15.75" customHeight="1">
      <c r="A41" s="367"/>
      <c r="B41" s="400"/>
      <c r="C41" s="382"/>
      <c r="E41" s="382"/>
      <c r="G41" s="387"/>
      <c r="I41" s="387"/>
      <c r="J41" s="401"/>
      <c r="K41" s="402"/>
    </row>
    <row r="42" spans="1:11" ht="15.75" customHeight="1">
      <c r="A42" s="405" t="s">
        <v>1546</v>
      </c>
      <c r="B42" s="400">
        <f>$G$17</f>
        <v>0</v>
      </c>
      <c r="C42" s="382">
        <f>$B$42*27</f>
        <v>0</v>
      </c>
      <c r="D42" s="381" t="s">
        <v>1255</v>
      </c>
      <c r="E42" s="382" t="str">
        <f>D17</f>
        <v/>
      </c>
      <c r="F42" s="381" t="s">
        <v>1255</v>
      </c>
      <c r="G42" s="387">
        <v>62.4</v>
      </c>
      <c r="H42" s="381" t="s">
        <v>1558</v>
      </c>
      <c r="I42" s="387">
        <f>J42/27</f>
        <v>0</v>
      </c>
      <c r="J42" s="401">
        <f>IF(' Form E820150'!E57="",0,' Form E820150'!E57)</f>
        <v>0</v>
      </c>
      <c r="K42" s="402">
        <f>(J42/27)*$K$1</f>
        <v>0</v>
      </c>
    </row>
    <row r="43" spans="1:11" ht="15.75" customHeight="1">
      <c r="A43" s="367"/>
      <c r="B43" s="400"/>
      <c r="C43" s="382"/>
      <c r="E43" s="382"/>
      <c r="G43" s="387"/>
      <c r="I43" s="387"/>
      <c r="J43" s="401"/>
      <c r="K43" s="402"/>
    </row>
    <row r="44" spans="1:11" ht="15.75" customHeight="1">
      <c r="A44" s="367" t="s">
        <v>1552</v>
      </c>
      <c r="B44" s="400">
        <f>$G$18</f>
        <v>0</v>
      </c>
      <c r="C44" s="382">
        <f>$B$44*27</f>
        <v>0</v>
      </c>
      <c r="D44" s="381" t="s">
        <v>1255</v>
      </c>
      <c r="E44" s="382" t="str">
        <f>D18</f>
        <v/>
      </c>
      <c r="F44" s="381" t="s">
        <v>1255</v>
      </c>
      <c r="G44" s="387">
        <v>62.4</v>
      </c>
      <c r="H44" s="381" t="s">
        <v>1558</v>
      </c>
      <c r="I44" s="387">
        <f>J44/27</f>
        <v>0</v>
      </c>
      <c r="J44" s="401">
        <f>IF(' Form E820150'!E58="",0,' Form E820150'!E58)</f>
        <v>0</v>
      </c>
      <c r="K44" s="402">
        <f>(J44/27)*$K$1</f>
        <v>0</v>
      </c>
    </row>
    <row r="45" spans="1:11" ht="15.75" customHeight="1">
      <c r="A45" s="405"/>
      <c r="B45" s="400"/>
      <c r="C45" s="382"/>
      <c r="E45" s="382"/>
      <c r="G45" s="387"/>
      <c r="I45" s="387"/>
      <c r="J45" s="401"/>
      <c r="K45" s="402"/>
    </row>
    <row r="46" spans="1:11" ht="15.75" customHeight="1">
      <c r="A46" s="405" t="s">
        <v>1548</v>
      </c>
      <c r="B46" s="400">
        <f>$G$19</f>
        <v>0</v>
      </c>
      <c r="C46" s="382">
        <f>$B$46*27</f>
        <v>0</v>
      </c>
      <c r="D46" s="381" t="s">
        <v>1255</v>
      </c>
      <c r="E46" s="382" t="str">
        <f>D19</f>
        <v/>
      </c>
      <c r="F46" s="381" t="s">
        <v>1255</v>
      </c>
      <c r="G46" s="387">
        <f>IF(D18=0,0,62.4)</f>
        <v>62.4</v>
      </c>
      <c r="H46" s="381" t="s">
        <v>1558</v>
      </c>
      <c r="I46" s="387">
        <f>J46/27</f>
        <v>0</v>
      </c>
      <c r="J46" s="401">
        <f>IF(' Form E820150'!E59="",0,' Form E820150'!E59)</f>
        <v>0</v>
      </c>
      <c r="K46" s="402">
        <f>(J46/27)*$K$1</f>
        <v>0</v>
      </c>
    </row>
    <row r="47" spans="1:11" ht="15.75" customHeight="1">
      <c r="A47" s="367"/>
      <c r="B47" s="400"/>
      <c r="C47" s="382"/>
      <c r="E47" s="382"/>
      <c r="G47" s="387"/>
      <c r="I47" s="387"/>
      <c r="J47" s="401"/>
      <c r="K47" s="402"/>
    </row>
    <row r="48" spans="1:11" ht="15.75" customHeight="1">
      <c r="A48" s="371" t="s">
        <v>1565</v>
      </c>
      <c r="B48" s="406">
        <f>$G$16</f>
        <v>0.06</v>
      </c>
      <c r="C48" s="407">
        <f>B48*27</f>
        <v>1.6199999999999999</v>
      </c>
      <c r="D48" s="398" t="s">
        <v>1255</v>
      </c>
      <c r="E48" s="407">
        <v>0</v>
      </c>
      <c r="F48" s="398" t="s">
        <v>1255</v>
      </c>
      <c r="G48" s="388">
        <v>62.4</v>
      </c>
      <c r="H48" s="398" t="s">
        <v>1558</v>
      </c>
      <c r="I48" s="388">
        <v>0</v>
      </c>
      <c r="J48" s="408">
        <v>0</v>
      </c>
      <c r="K48" s="409">
        <v>0</v>
      </c>
    </row>
    <row r="49" spans="1:11" ht="15.75" customHeight="1">
      <c r="A49" s="410" t="s">
        <v>1566</v>
      </c>
      <c r="B49" s="425">
        <f>SUM(B34:B48)</f>
        <v>0.06</v>
      </c>
      <c r="C49" s="411">
        <f>SUM(C34:C48)</f>
        <v>1.6199999999999999</v>
      </c>
      <c r="I49" s="411">
        <f>SUM(I34:I48)</f>
        <v>0</v>
      </c>
      <c r="J49" s="412">
        <f>SUM(J34:J48)-J39</f>
        <v>0</v>
      </c>
      <c r="K49" s="411">
        <f>SUM(K34:K48)</f>
        <v>0</v>
      </c>
    </row>
    <row r="50" spans="1:11" ht="15.75" customHeight="1">
      <c r="A50" s="410" t="s">
        <v>1568</v>
      </c>
      <c r="B50" s="413">
        <f>SUM(B34:B40)*100</f>
        <v>0</v>
      </c>
      <c r="C50" s="414"/>
      <c r="I50" s="411"/>
      <c r="J50" s="412"/>
      <c r="K50" s="411"/>
    </row>
    <row r="51" spans="1:11" ht="15.75" customHeight="1">
      <c r="A51" s="410" t="s">
        <v>1569</v>
      </c>
      <c r="B51" s="413">
        <f>(SUM(B34:B42)+B48)*100</f>
        <v>6</v>
      </c>
      <c r="C51" s="205"/>
      <c r="D51" s="205"/>
      <c r="I51" s="411"/>
      <c r="J51" s="412"/>
      <c r="K51" s="411"/>
    </row>
    <row r="52" spans="1:11" ht="15.75" customHeight="1">
      <c r="A52" s="410" t="s">
        <v>1570</v>
      </c>
      <c r="B52" s="413">
        <f>'QMC Gradation'!H26</f>
        <v>0</v>
      </c>
      <c r="C52" s="414"/>
      <c r="I52" s="411"/>
      <c r="J52" s="412"/>
      <c r="K52" s="411"/>
    </row>
    <row r="53" spans="1:11" ht="15.75" customHeight="1">
      <c r="A53" s="410"/>
      <c r="B53" s="413"/>
      <c r="C53" s="414"/>
      <c r="I53" s="411"/>
      <c r="J53" s="412"/>
      <c r="K53" s="411"/>
    </row>
    <row r="54" spans="1:11" ht="15.75" customHeight="1"/>
    <row r="55" spans="1:11" ht="15.75" customHeight="1">
      <c r="A55" s="362" t="s">
        <v>1571</v>
      </c>
      <c r="B55" s="511" t="s">
        <v>1752</v>
      </c>
    </row>
    <row r="56" spans="1:11" ht="15.75" customHeight="1">
      <c r="A56" s="365"/>
      <c r="B56" s="415"/>
      <c r="C56" s="415"/>
      <c r="D56" s="415"/>
      <c r="E56" s="415"/>
      <c r="F56" s="415"/>
      <c r="G56" s="415"/>
      <c r="H56" s="415"/>
      <c r="I56" s="376" t="s">
        <v>1572</v>
      </c>
      <c r="J56" s="376" t="s">
        <v>1572</v>
      </c>
      <c r="K56" s="393" t="s">
        <v>1572</v>
      </c>
    </row>
    <row r="57" spans="1:11" ht="15.75" customHeight="1">
      <c r="A57" s="367"/>
      <c r="I57" s="381" t="s">
        <v>1573</v>
      </c>
      <c r="J57" s="381" t="s">
        <v>1573</v>
      </c>
      <c r="K57" s="395" t="s">
        <v>1573</v>
      </c>
    </row>
    <row r="58" spans="1:11" ht="15.75" customHeight="1">
      <c r="A58" s="367"/>
      <c r="B58" s="381" t="s">
        <v>1572</v>
      </c>
      <c r="I58" s="381" t="s">
        <v>1554</v>
      </c>
      <c r="J58" s="381" t="s">
        <v>1554</v>
      </c>
      <c r="K58" s="395" t="s">
        <v>1555</v>
      </c>
    </row>
    <row r="59" spans="1:11" ht="15.75" customHeight="1">
      <c r="A59" s="371"/>
      <c r="B59" s="398" t="s">
        <v>1574</v>
      </c>
      <c r="C59" s="389"/>
      <c r="D59" s="389"/>
      <c r="E59" s="389"/>
      <c r="F59" s="389"/>
      <c r="G59" s="389"/>
      <c r="H59" s="416"/>
      <c r="I59" s="398" t="s">
        <v>1557</v>
      </c>
      <c r="J59" s="398" t="s">
        <v>1556</v>
      </c>
      <c r="K59" s="409">
        <f>IF($K$1="","",$K$1)</f>
        <v>1.5</v>
      </c>
    </row>
    <row r="60" spans="1:11" ht="15.75" customHeight="1">
      <c r="A60" s="405" t="s">
        <v>1559</v>
      </c>
      <c r="B60" s="506" t="str">
        <f>IF('Mix Info'!B25="","",'Mix Info'!B25)</f>
        <v/>
      </c>
      <c r="C60" s="507" t="str">
        <f>IF(B60="","",' Form E820150'!C19/27)</f>
        <v/>
      </c>
      <c r="D60" s="507" t="str">
        <f>IF(B60="","","X")</f>
        <v/>
      </c>
      <c r="E60" s="508" t="str">
        <f>IF(B60="","",B60/100)</f>
        <v/>
      </c>
      <c r="F60" s="507" t="str">
        <f>IF(B60="","","X")</f>
        <v/>
      </c>
      <c r="G60" s="508" t="str">
        <f>IF(B60="","",29.57)</f>
        <v/>
      </c>
      <c r="H60" s="507" t="str">
        <f>IF(B60="","","=")</f>
        <v/>
      </c>
      <c r="I60" s="506" t="str">
        <f>IF(B60="","",C60*(E60)*G60)</f>
        <v/>
      </c>
      <c r="J60" s="506" t="str">
        <f>IF(B60="","",I60*27)</f>
        <v/>
      </c>
      <c r="K60" s="509" t="str">
        <f>IF(B60="","",I60*K1)</f>
        <v/>
      </c>
    </row>
    <row r="61" spans="1:11" ht="15.75" customHeight="1">
      <c r="A61" s="367"/>
      <c r="B61" s="508"/>
      <c r="C61" s="508"/>
      <c r="D61" s="508"/>
      <c r="E61" s="508"/>
      <c r="F61" s="507"/>
      <c r="G61" s="508"/>
      <c r="H61" s="508"/>
      <c r="I61" s="506"/>
      <c r="J61" s="508"/>
      <c r="K61" s="509"/>
    </row>
    <row r="62" spans="1:11" ht="15.75" customHeight="1">
      <c r="A62" s="405" t="s">
        <v>1560</v>
      </c>
      <c r="B62" s="506" t="str">
        <f>IF('Mix Info'!B33="","",'Mix Info'!B33)</f>
        <v/>
      </c>
      <c r="C62" s="507" t="str">
        <f>IF(B62="","",' Form E820150'!C19/27)</f>
        <v/>
      </c>
      <c r="D62" s="507" t="str">
        <f>IF(B62="","","X")</f>
        <v/>
      </c>
      <c r="E62" s="508" t="str">
        <f>IF(B62="","",B62/100)</f>
        <v/>
      </c>
      <c r="F62" s="507" t="str">
        <f>IF(B62="","","X")</f>
        <v/>
      </c>
      <c r="G62" s="508" t="str">
        <f>IF(B62="","",29.57)</f>
        <v/>
      </c>
      <c r="H62" s="507" t="str">
        <f>IF(B62="","","=")</f>
        <v/>
      </c>
      <c r="I62" s="506" t="str">
        <f>IF(B62="","",C62*(E62)*G62)</f>
        <v/>
      </c>
      <c r="J62" s="506" t="str">
        <f>IF(B62="","",I62*27)</f>
        <v/>
      </c>
      <c r="K62" s="509" t="str">
        <f>IF(B62="","",I62*K1)</f>
        <v/>
      </c>
    </row>
    <row r="63" spans="1:11" ht="15.75" customHeight="1">
      <c r="A63" s="367"/>
      <c r="B63" s="508"/>
      <c r="C63" s="508"/>
      <c r="D63" s="508"/>
      <c r="E63" s="508"/>
      <c r="F63" s="507"/>
      <c r="G63" s="508"/>
      <c r="H63" s="508"/>
      <c r="I63" s="506"/>
      <c r="J63" s="508"/>
      <c r="K63" s="509"/>
    </row>
    <row r="64" spans="1:11" ht="15.75" customHeight="1">
      <c r="A64" s="405" t="s">
        <v>1562</v>
      </c>
      <c r="B64" s="506" t="str">
        <f>IF('Mix Info'!B27="","",'Mix Info'!B27)</f>
        <v/>
      </c>
      <c r="C64" s="507" t="str">
        <f>IF(B64="","",' Form E820150'!C$19/27)</f>
        <v/>
      </c>
      <c r="D64" s="507" t="str">
        <f>IF(B64="","","X")</f>
        <v/>
      </c>
      <c r="E64" s="508" t="str">
        <f>IF(B64="","",B64/100)</f>
        <v/>
      </c>
      <c r="F64" s="507" t="str">
        <f>IF(B64="","","X")</f>
        <v/>
      </c>
      <c r="G64" s="508" t="str">
        <f>IF(B64="","",29.57)</f>
        <v/>
      </c>
      <c r="H64" s="507" t="str">
        <f>IF(B64="","","=")</f>
        <v/>
      </c>
      <c r="I64" s="506" t="str">
        <f>IF(B64="","",C64*(E64)*G64)</f>
        <v/>
      </c>
      <c r="J64" s="506" t="str">
        <f>IF(B64="","",I64*27)</f>
        <v/>
      </c>
      <c r="K64" s="509" t="str">
        <f>IF(B64="","",I64*K1)</f>
        <v/>
      </c>
    </row>
    <row r="65" spans="1:11" ht="15.75" customHeight="1">
      <c r="A65" s="405"/>
      <c r="B65" s="506"/>
      <c r="C65" s="507"/>
      <c r="D65" s="507"/>
      <c r="E65" s="508"/>
      <c r="F65" s="507"/>
      <c r="G65" s="508"/>
      <c r="H65" s="507"/>
      <c r="I65" s="506"/>
      <c r="J65" s="506"/>
      <c r="K65" s="509"/>
    </row>
    <row r="66" spans="1:11" ht="15.75" customHeight="1">
      <c r="A66" s="367" t="s">
        <v>1563</v>
      </c>
      <c r="B66" s="506" t="str">
        <f>IF('Mix Info'!B29="","",'Mix Info'!B29)</f>
        <v/>
      </c>
      <c r="C66" s="507" t="str">
        <f>IF(B66="","",' Form E820150'!C$19/27)</f>
        <v/>
      </c>
      <c r="D66" s="507" t="str">
        <f>IF(B66="","","X")</f>
        <v/>
      </c>
      <c r="E66" s="508" t="str">
        <f>IF(B66="","",B66/100)</f>
        <v/>
      </c>
      <c r="F66" s="507" t="str">
        <f>IF(B66="","","X")</f>
        <v/>
      </c>
      <c r="G66" s="508" t="str">
        <f>IF(B66="","",29.57)</f>
        <v/>
      </c>
      <c r="H66" s="507" t="str">
        <f>IF(B66="","","=")</f>
        <v/>
      </c>
      <c r="I66" s="506" t="str">
        <f>IF(B66="","",C66*(E66)*G66)</f>
        <v/>
      </c>
      <c r="J66" s="506" t="str">
        <f>IF(B66="","",I66*27)</f>
        <v/>
      </c>
      <c r="K66" s="509" t="str">
        <f>IF(B66="","",I66*K1)</f>
        <v/>
      </c>
    </row>
    <row r="67" spans="1:11" ht="15.75" customHeight="1">
      <c r="A67" s="367"/>
      <c r="B67" s="508"/>
      <c r="C67" s="508"/>
      <c r="D67" s="508"/>
      <c r="E67" s="508"/>
      <c r="F67" s="507"/>
      <c r="G67" s="508"/>
      <c r="H67" s="508"/>
      <c r="I67" s="506"/>
      <c r="J67" s="508"/>
      <c r="K67" s="509"/>
    </row>
    <row r="68" spans="1:11" ht="15.75" customHeight="1">
      <c r="A68" s="405" t="s">
        <v>1564</v>
      </c>
      <c r="B68" s="506" t="str">
        <f>IF('Mix Info'!B31="","",'Mix Info'!B31)</f>
        <v/>
      </c>
      <c r="C68" s="507" t="str">
        <f>IF(B68="","",' Form E820150'!C$19/27)</f>
        <v/>
      </c>
      <c r="D68" s="507" t="str">
        <f>IF(B68="","","X")</f>
        <v/>
      </c>
      <c r="E68" s="508" t="str">
        <f>IF(B68="","",B68/100)</f>
        <v/>
      </c>
      <c r="F68" s="507" t="str">
        <f>IF(B68="","","X")</f>
        <v/>
      </c>
      <c r="G68" s="508" t="str">
        <f>IF(B68="","",29.57)</f>
        <v/>
      </c>
      <c r="H68" s="507" t="str">
        <f>IF(B68="","","=")</f>
        <v/>
      </c>
      <c r="I68" s="506" t="str">
        <f>IF(B68="","",C68*(E68)*G68)</f>
        <v/>
      </c>
      <c r="J68" s="506" t="str">
        <f>IF(B68="","",I68*27)</f>
        <v/>
      </c>
      <c r="K68" s="509" t="str">
        <f>IF(B68="","",I68*K1)</f>
        <v/>
      </c>
    </row>
    <row r="69" spans="1:11">
      <c r="A69" s="367"/>
      <c r="B69" s="508"/>
      <c r="C69" s="508"/>
      <c r="D69" s="508"/>
      <c r="E69" s="508"/>
      <c r="F69" s="507"/>
      <c r="G69" s="508"/>
      <c r="H69" s="508"/>
      <c r="I69" s="506"/>
      <c r="J69" s="508"/>
      <c r="K69" s="509"/>
    </row>
    <row r="70" spans="1:11">
      <c r="A70" s="417" t="s">
        <v>1748</v>
      </c>
      <c r="B70" s="506" t="str">
        <f>IF('Mix Info'!B35="","",'Mix Info'!B35)</f>
        <v/>
      </c>
      <c r="C70" s="507" t="str">
        <f>IF(B70="","",' Form E820150'!C19/27)</f>
        <v/>
      </c>
      <c r="D70" s="507" t="str">
        <f>IF(B70="","","X")</f>
        <v/>
      </c>
      <c r="E70" s="508" t="str">
        <f>IF(B70="","",B70/100)</f>
        <v/>
      </c>
      <c r="F70" s="507" t="str">
        <f>IF(B70="","","X")</f>
        <v/>
      </c>
      <c r="G70" s="508" t="str">
        <f>IF(B70="","",29.57)</f>
        <v/>
      </c>
      <c r="H70" s="507" t="str">
        <f>IF(B70="","","=")</f>
        <v/>
      </c>
      <c r="I70" s="506" t="str">
        <f>IF(B70="","",C70*(E70)*G70)</f>
        <v/>
      </c>
      <c r="J70" s="506" t="str">
        <f>IF(B70="","",I70*27)</f>
        <v/>
      </c>
      <c r="K70" s="509" t="str">
        <f>IF(B70="","",I70*K1)</f>
        <v/>
      </c>
    </row>
    <row r="71" spans="1:11">
      <c r="F71" s="418"/>
    </row>
    <row r="73" spans="1:11" ht="12.75">
      <c r="A73" s="205"/>
      <c r="B73" s="205"/>
      <c r="C73" s="205"/>
      <c r="D73" s="205"/>
      <c r="E73" s="205"/>
      <c r="F73" s="205"/>
      <c r="G73" s="205"/>
      <c r="H73" s="205"/>
      <c r="I73" s="205"/>
      <c r="J73" s="205"/>
      <c r="K73" s="205"/>
    </row>
    <row r="74" spans="1:11" ht="12.75">
      <c r="A74" s="205"/>
      <c r="B74" s="205"/>
      <c r="C74" s="205"/>
      <c r="D74" s="205"/>
      <c r="E74" s="205"/>
      <c r="F74" s="205"/>
      <c r="G74" s="205"/>
      <c r="H74" s="205"/>
      <c r="I74" s="205"/>
      <c r="J74" s="205"/>
      <c r="K74" s="205"/>
    </row>
    <row r="75" spans="1:11" ht="12.75">
      <c r="A75" s="205"/>
      <c r="B75" s="205"/>
      <c r="C75" s="205"/>
      <c r="D75" s="205"/>
      <c r="E75" s="205"/>
      <c r="F75" s="205"/>
      <c r="G75" s="205"/>
      <c r="H75" s="205"/>
      <c r="I75" s="205"/>
      <c r="J75" s="205"/>
      <c r="K75" s="205"/>
    </row>
    <row r="76" spans="1:11" ht="12.75">
      <c r="A76" s="205"/>
      <c r="B76" s="205"/>
      <c r="C76" s="205"/>
      <c r="D76" s="205"/>
      <c r="E76" s="205"/>
      <c r="F76" s="205"/>
      <c r="G76" s="205"/>
      <c r="H76" s="205"/>
      <c r="I76" s="205"/>
      <c r="J76" s="205"/>
      <c r="K76" s="205"/>
    </row>
    <row r="77" spans="1:11" ht="12.75">
      <c r="A77" s="205"/>
      <c r="B77" s="205"/>
      <c r="C77" s="205"/>
      <c r="D77" s="205"/>
      <c r="E77" s="205"/>
      <c r="F77" s="205"/>
      <c r="G77" s="205"/>
      <c r="H77" s="205"/>
      <c r="I77" s="205"/>
      <c r="J77" s="205"/>
      <c r="K77" s="205"/>
    </row>
    <row r="78" spans="1:11" ht="12.75">
      <c r="A78" s="205"/>
      <c r="B78" s="205"/>
      <c r="C78" s="205"/>
      <c r="D78" s="205"/>
      <c r="E78" s="205"/>
      <c r="F78" s="205"/>
      <c r="G78" s="205"/>
      <c r="H78" s="205"/>
      <c r="I78" s="205"/>
      <c r="J78" s="205"/>
      <c r="K78" s="205"/>
    </row>
    <row r="79" spans="1:11" ht="12.75">
      <c r="A79" s="205"/>
      <c r="B79" s="205"/>
      <c r="C79" s="205"/>
      <c r="D79" s="205"/>
      <c r="E79" s="205"/>
      <c r="F79" s="205"/>
      <c r="G79" s="205"/>
      <c r="H79" s="205"/>
      <c r="I79" s="205"/>
      <c r="J79" s="205"/>
      <c r="K79" s="205"/>
    </row>
    <row r="80" spans="1:11" ht="12.75">
      <c r="A80" s="205"/>
      <c r="B80" s="205"/>
      <c r="C80" s="205"/>
      <c r="D80" s="205"/>
      <c r="E80" s="205"/>
      <c r="F80" s="205"/>
      <c r="G80" s="205"/>
      <c r="H80" s="205"/>
      <c r="I80" s="205"/>
      <c r="J80" s="205"/>
      <c r="K80" s="205"/>
    </row>
    <row r="81" s="205" customFormat="1" ht="12.75"/>
    <row r="82" s="205" customFormat="1" ht="12.75"/>
  </sheetData>
  <sheetProtection algorithmName="SHA-512" hashValue="JcTJp/ijAPgD18M/VB0uLczxp7omoRJsAebDSZ3ZBF8NPjd71IhUx0A4X4pq20v7rIumMYjc1Wk/NhQYvGgHAA==" saltValue="balMOa+yrrI/ZTABBwC9fA==" spinCount="100000" sheet="1" objects="1" scenarios="1"/>
  <pageMargins left="0.75" right="0.75" top="1" bottom="1" header="0.5" footer="0.5"/>
  <pageSetup scale="51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F7519-21D6-46A7-9EDC-19F5CF6C3B96}">
  <sheetPr codeName="Sheet14"/>
  <dimension ref="A1:D338"/>
  <sheetViews>
    <sheetView workbookViewId="0">
      <selection sqref="A1:XFD1048576"/>
    </sheetView>
  </sheetViews>
  <sheetFormatPr defaultRowHeight="15"/>
  <cols>
    <col min="1" max="1" width="29.88671875" bestFit="1" customWidth="1"/>
    <col min="3" max="3" width="22" bestFit="1" customWidth="1"/>
  </cols>
  <sheetData>
    <row r="1" spans="1:4">
      <c r="A1" s="719" t="s">
        <v>1582</v>
      </c>
      <c r="B1" s="719"/>
      <c r="C1" s="719"/>
      <c r="D1" s="719"/>
    </row>
    <row r="2" spans="1:4">
      <c r="A2" s="719"/>
      <c r="B2" s="719"/>
      <c r="C2" s="719"/>
      <c r="D2" s="719"/>
    </row>
    <row r="4" spans="1:4">
      <c r="A4" t="s">
        <v>2075</v>
      </c>
      <c r="B4" t="s">
        <v>262</v>
      </c>
      <c r="C4" t="s">
        <v>263</v>
      </c>
    </row>
    <row r="5" spans="1:4">
      <c r="A5" t="str">
        <f t="shared" ref="A5:A68" si="0">CONCATENATE(B5,"-",C5)</f>
        <v>A03004-LANGE</v>
      </c>
      <c r="B5" t="s">
        <v>264</v>
      </c>
      <c r="C5" t="s">
        <v>265</v>
      </c>
    </row>
    <row r="6" spans="1:4">
      <c r="A6" t="str">
        <f t="shared" si="0"/>
        <v>A03014-HAMMEL-BOONIES</v>
      </c>
      <c r="B6" t="s">
        <v>1951</v>
      </c>
      <c r="C6" t="s">
        <v>1952</v>
      </c>
    </row>
    <row r="7" spans="1:4">
      <c r="A7" t="str">
        <f t="shared" si="0"/>
        <v>A03038-RIEHM</v>
      </c>
      <c r="B7" t="s">
        <v>266</v>
      </c>
      <c r="C7" t="s">
        <v>267</v>
      </c>
    </row>
    <row r="8" spans="1:4">
      <c r="A8" t="str">
        <f t="shared" si="0"/>
        <v>A03040-DEE</v>
      </c>
      <c r="B8" t="s">
        <v>268</v>
      </c>
      <c r="C8" t="s">
        <v>269</v>
      </c>
    </row>
    <row r="9" spans="1:4">
      <c r="A9" t="str">
        <f t="shared" si="0"/>
        <v>A03046-MOHS</v>
      </c>
      <c r="B9" t="s">
        <v>1870</v>
      </c>
      <c r="C9" t="s">
        <v>1871</v>
      </c>
    </row>
    <row r="10" spans="1:4">
      <c r="A10" t="str">
        <f t="shared" si="0"/>
        <v>A03048-POSTVILLE</v>
      </c>
      <c r="B10" t="s">
        <v>270</v>
      </c>
      <c r="C10" t="s">
        <v>271</v>
      </c>
    </row>
    <row r="11" spans="1:4">
      <c r="A11" t="str">
        <f t="shared" si="0"/>
        <v>A03050-GREEN</v>
      </c>
      <c r="B11" t="s">
        <v>272</v>
      </c>
      <c r="C11" t="s">
        <v>273</v>
      </c>
    </row>
    <row r="12" spans="1:4">
      <c r="A12" t="str">
        <f t="shared" si="0"/>
        <v>A03066-ELSBERN</v>
      </c>
      <c r="B12" t="s">
        <v>274</v>
      </c>
      <c r="C12" t="s">
        <v>1583</v>
      </c>
    </row>
    <row r="13" spans="1:4">
      <c r="A13" t="str">
        <f t="shared" si="0"/>
        <v>A03502-HARPERS FERRY</v>
      </c>
      <c r="B13" t="s">
        <v>275</v>
      </c>
      <c r="C13" t="s">
        <v>276</v>
      </c>
      <c r="D13" t="s">
        <v>2076</v>
      </c>
    </row>
    <row r="14" spans="1:4">
      <c r="A14" t="str">
        <f t="shared" si="0"/>
        <v>A04016-WALNUT CITY</v>
      </c>
      <c r="B14" t="s">
        <v>277</v>
      </c>
      <c r="C14" t="s">
        <v>1872</v>
      </c>
    </row>
    <row r="15" spans="1:4">
      <c r="A15" t="str">
        <f t="shared" si="0"/>
        <v>A05506-EXIRA</v>
      </c>
      <c r="B15" t="s">
        <v>278</v>
      </c>
      <c r="C15" t="s">
        <v>279</v>
      </c>
    </row>
    <row r="16" spans="1:4">
      <c r="A16" t="str">
        <f t="shared" si="0"/>
        <v>A06006-GARRISON B</v>
      </c>
      <c r="B16" t="s">
        <v>280</v>
      </c>
      <c r="C16" t="s">
        <v>281</v>
      </c>
    </row>
    <row r="17" spans="1:4">
      <c r="A17" t="str">
        <f t="shared" si="0"/>
        <v>A06012-JABENS</v>
      </c>
      <c r="B17" t="s">
        <v>282</v>
      </c>
      <c r="C17" t="s">
        <v>283</v>
      </c>
    </row>
    <row r="18" spans="1:4">
      <c r="A18" t="str">
        <f t="shared" si="0"/>
        <v>A07004-WATERLOO SOUTH</v>
      </c>
      <c r="B18" t="s">
        <v>284</v>
      </c>
      <c r="C18" t="s">
        <v>285</v>
      </c>
    </row>
    <row r="19" spans="1:4">
      <c r="A19" t="str">
        <f t="shared" si="0"/>
        <v>A07008-MORGAN</v>
      </c>
      <c r="B19" t="s">
        <v>286</v>
      </c>
      <c r="C19" t="s">
        <v>287</v>
      </c>
    </row>
    <row r="20" spans="1:4">
      <c r="A20" t="str">
        <f t="shared" si="0"/>
        <v>A07018-RAYMOND-PESKE</v>
      </c>
      <c r="B20" t="s">
        <v>288</v>
      </c>
      <c r="C20" t="s">
        <v>289</v>
      </c>
    </row>
    <row r="21" spans="1:4">
      <c r="A21" t="str">
        <f t="shared" si="0"/>
        <v>A07020-STEINBRON</v>
      </c>
      <c r="B21" t="s">
        <v>290</v>
      </c>
      <c r="C21" t="s">
        <v>291</v>
      </c>
    </row>
    <row r="22" spans="1:4">
      <c r="A22" t="str">
        <f t="shared" si="0"/>
        <v>A07022-MESSERLY</v>
      </c>
      <c r="B22" t="s">
        <v>2124</v>
      </c>
      <c r="C22" t="s">
        <v>2125</v>
      </c>
    </row>
    <row r="23" spans="1:4">
      <c r="A23" t="str">
        <f t="shared" si="0"/>
        <v>A07508-GILBERTVILLE</v>
      </c>
      <c r="B23" t="s">
        <v>292</v>
      </c>
      <c r="C23" t="s">
        <v>293</v>
      </c>
    </row>
    <row r="24" spans="1:4">
      <c r="A24" t="str">
        <f t="shared" si="0"/>
        <v>A07518-JANESVILLE</v>
      </c>
      <c r="B24" t="s">
        <v>828</v>
      </c>
      <c r="C24" t="s">
        <v>829</v>
      </c>
    </row>
    <row r="25" spans="1:4">
      <c r="A25" t="str">
        <f t="shared" si="0"/>
        <v>A09006-TRIPOLI-PLATTE</v>
      </c>
      <c r="B25" t="s">
        <v>294</v>
      </c>
      <c r="C25" t="s">
        <v>295</v>
      </c>
      <c r="D25" t="s">
        <v>2076</v>
      </c>
    </row>
    <row r="26" spans="1:4">
      <c r="A26" t="str">
        <f t="shared" si="0"/>
        <v>A09008-DENVER #2</v>
      </c>
      <c r="B26" t="s">
        <v>2126</v>
      </c>
      <c r="C26" t="s">
        <v>2127</v>
      </c>
    </row>
    <row r="27" spans="1:4">
      <c r="A27" t="str">
        <f t="shared" si="0"/>
        <v>A10002-WESTON-LAMONT</v>
      </c>
      <c r="B27" t="s">
        <v>1873</v>
      </c>
      <c r="C27" t="s">
        <v>1874</v>
      </c>
      <c r="D27" t="s">
        <v>2076</v>
      </c>
    </row>
    <row r="28" spans="1:4">
      <c r="A28" t="str">
        <f t="shared" si="0"/>
        <v>A10004-BLOOM-JESUP</v>
      </c>
      <c r="B28" t="s">
        <v>296</v>
      </c>
      <c r="C28" t="s">
        <v>297</v>
      </c>
    </row>
    <row r="29" spans="1:4">
      <c r="A29" t="str">
        <f t="shared" si="0"/>
        <v>A10008-OELWEIN</v>
      </c>
      <c r="B29" t="s">
        <v>298</v>
      </c>
      <c r="C29" t="s">
        <v>299</v>
      </c>
    </row>
    <row r="30" spans="1:4">
      <c r="A30" t="str">
        <f t="shared" si="0"/>
        <v>A10010-HAZELTON</v>
      </c>
      <c r="B30" t="s">
        <v>300</v>
      </c>
      <c r="C30" t="s">
        <v>301</v>
      </c>
      <c r="D30" t="s">
        <v>2076</v>
      </c>
    </row>
    <row r="31" spans="1:4">
      <c r="A31" t="str">
        <f t="shared" si="0"/>
        <v>A10016-OELWEIN #2</v>
      </c>
      <c r="B31" t="s">
        <v>302</v>
      </c>
      <c r="C31" t="s">
        <v>303</v>
      </c>
    </row>
    <row r="32" spans="1:4">
      <c r="A32" t="str">
        <f t="shared" si="0"/>
        <v>A10022-BROOKS</v>
      </c>
      <c r="B32" t="s">
        <v>304</v>
      </c>
      <c r="C32" t="s">
        <v>305</v>
      </c>
    </row>
    <row r="33" spans="1:4">
      <c r="A33" t="str">
        <f t="shared" si="0"/>
        <v>A10030-SOUTH AURORA</v>
      </c>
      <c r="B33" t="s">
        <v>306</v>
      </c>
      <c r="C33" t="s">
        <v>307</v>
      </c>
      <c r="D33" t="s">
        <v>2076</v>
      </c>
    </row>
    <row r="34" spans="1:4">
      <c r="A34" t="str">
        <f t="shared" si="0"/>
        <v>A12502-CLARKSVILLE</v>
      </c>
      <c r="B34" t="s">
        <v>308</v>
      </c>
      <c r="C34" t="s">
        <v>309</v>
      </c>
    </row>
    <row r="35" spans="1:4">
      <c r="A35" t="str">
        <f t="shared" si="0"/>
        <v>A12522-HOBSON</v>
      </c>
      <c r="B35" t="s">
        <v>844</v>
      </c>
      <c r="C35" t="s">
        <v>845</v>
      </c>
    </row>
    <row r="36" spans="1:4">
      <c r="A36" t="str">
        <f t="shared" si="0"/>
        <v>A14504-REINHART</v>
      </c>
      <c r="B36" t="s">
        <v>310</v>
      </c>
      <c r="C36" t="s">
        <v>311</v>
      </c>
    </row>
    <row r="37" spans="1:4">
      <c r="A37" t="str">
        <f t="shared" si="0"/>
        <v>A14510-LANESBORO</v>
      </c>
      <c r="B37" t="s">
        <v>312</v>
      </c>
      <c r="C37" t="s">
        <v>313</v>
      </c>
    </row>
    <row r="38" spans="1:4">
      <c r="A38" t="str">
        <f t="shared" si="0"/>
        <v>A14514-MACKE</v>
      </c>
      <c r="B38" t="s">
        <v>314</v>
      </c>
      <c r="C38" t="s">
        <v>315</v>
      </c>
    </row>
    <row r="39" spans="1:4">
      <c r="A39" t="str">
        <f t="shared" si="0"/>
        <v>A14518-MILLER</v>
      </c>
      <c r="B39" t="s">
        <v>316</v>
      </c>
      <c r="C39" t="s">
        <v>317</v>
      </c>
    </row>
    <row r="40" spans="1:4">
      <c r="A40" t="str">
        <f t="shared" si="0"/>
        <v>A16004-LOWDEN-SCHNECKLOTH</v>
      </c>
      <c r="B40" t="s">
        <v>319</v>
      </c>
      <c r="C40" t="s">
        <v>320</v>
      </c>
    </row>
    <row r="41" spans="1:4">
      <c r="A41" t="str">
        <f t="shared" si="0"/>
        <v>A16006-STONEMILL</v>
      </c>
      <c r="B41" t="s">
        <v>321</v>
      </c>
      <c r="C41" t="s">
        <v>322</v>
      </c>
      <c r="D41" t="s">
        <v>2076</v>
      </c>
    </row>
    <row r="42" spans="1:4">
      <c r="A42" t="str">
        <f t="shared" si="0"/>
        <v>A16012-ONION GROVE</v>
      </c>
      <c r="B42" t="s">
        <v>323</v>
      </c>
      <c r="C42" t="s">
        <v>324</v>
      </c>
    </row>
    <row r="43" spans="1:4">
      <c r="A43" t="str">
        <f t="shared" si="0"/>
        <v>A16022-TRICON</v>
      </c>
      <c r="B43" t="s">
        <v>325</v>
      </c>
      <c r="C43" t="s">
        <v>326</v>
      </c>
    </row>
    <row r="44" spans="1:4">
      <c r="A44" t="str">
        <f t="shared" si="0"/>
        <v>A17008-PORTLAND WEST</v>
      </c>
      <c r="B44" t="s">
        <v>327</v>
      </c>
      <c r="C44" t="s">
        <v>328</v>
      </c>
      <c r="D44" t="s">
        <v>2076</v>
      </c>
    </row>
    <row r="45" spans="1:4">
      <c r="A45" t="str">
        <f t="shared" si="0"/>
        <v>A17012-UBBEN</v>
      </c>
      <c r="B45" t="s">
        <v>329</v>
      </c>
      <c r="C45" t="s">
        <v>330</v>
      </c>
    </row>
    <row r="46" spans="1:4">
      <c r="A46" t="str">
        <f t="shared" si="0"/>
        <v>A17020-MASON CITY</v>
      </c>
      <c r="B46" t="s">
        <v>331</v>
      </c>
      <c r="C46" t="s">
        <v>332</v>
      </c>
    </row>
    <row r="47" spans="1:4">
      <c r="A47" t="str">
        <f t="shared" si="0"/>
        <v>A17514-HOLCIM SAND</v>
      </c>
      <c r="B47" t="s">
        <v>333</v>
      </c>
      <c r="C47" t="s">
        <v>334</v>
      </c>
    </row>
    <row r="48" spans="1:4">
      <c r="A48" t="str">
        <f t="shared" si="0"/>
        <v>A18506-CHEROKEE SOUTH</v>
      </c>
      <c r="B48" t="s">
        <v>335</v>
      </c>
      <c r="C48" t="s">
        <v>336</v>
      </c>
    </row>
    <row r="49" spans="1:4">
      <c r="A49" t="str">
        <f t="shared" si="0"/>
        <v>A18514-LARRABEE-MONTGOMERY</v>
      </c>
      <c r="B49" t="s">
        <v>337</v>
      </c>
      <c r="C49" t="s">
        <v>338</v>
      </c>
    </row>
    <row r="50" spans="1:4">
      <c r="A50" t="str">
        <f t="shared" si="0"/>
        <v>A18526-CHEROKEE NORTH</v>
      </c>
      <c r="B50" t="s">
        <v>339</v>
      </c>
      <c r="C50" t="s">
        <v>340</v>
      </c>
    </row>
    <row r="51" spans="1:4">
      <c r="A51" t="str">
        <f t="shared" si="0"/>
        <v>A18528-WASHTA</v>
      </c>
      <c r="B51" t="s">
        <v>341</v>
      </c>
      <c r="C51" t="s">
        <v>342</v>
      </c>
    </row>
    <row r="52" spans="1:4">
      <c r="A52" t="str">
        <f t="shared" si="0"/>
        <v>A18534-NELSON</v>
      </c>
      <c r="B52" t="s">
        <v>343</v>
      </c>
      <c r="C52" t="s">
        <v>344</v>
      </c>
    </row>
    <row r="53" spans="1:4">
      <c r="A53" t="str">
        <f t="shared" si="0"/>
        <v>A19522-BUCKY'S</v>
      </c>
      <c r="B53" t="s">
        <v>345</v>
      </c>
      <c r="C53" t="s">
        <v>346</v>
      </c>
      <c r="D53" t="s">
        <v>2076</v>
      </c>
    </row>
    <row r="54" spans="1:4">
      <c r="A54" t="str">
        <f t="shared" si="0"/>
        <v>A21506-EVERLY</v>
      </c>
      <c r="B54" t="s">
        <v>347</v>
      </c>
      <c r="C54" t="s">
        <v>348</v>
      </c>
    </row>
    <row r="55" spans="1:4">
      <c r="A55" t="str">
        <f t="shared" si="0"/>
        <v>A21516-SPENCER #1</v>
      </c>
      <c r="B55" t="s">
        <v>349</v>
      </c>
      <c r="C55" t="s">
        <v>350</v>
      </c>
    </row>
    <row r="56" spans="1:4">
      <c r="A56" t="str">
        <f t="shared" si="0"/>
        <v>A21528-GOEKEN</v>
      </c>
      <c r="B56" t="s">
        <v>2128</v>
      </c>
      <c r="C56" t="s">
        <v>2129</v>
      </c>
    </row>
    <row r="57" spans="1:4">
      <c r="A57" t="str">
        <f t="shared" si="0"/>
        <v>A22004-BENTE-ELKADER-WATSON</v>
      </c>
      <c r="B57" t="s">
        <v>351</v>
      </c>
      <c r="C57" t="s">
        <v>352</v>
      </c>
    </row>
    <row r="58" spans="1:4">
      <c r="A58" t="str">
        <f t="shared" si="0"/>
        <v>A22010-OSTERDOCK</v>
      </c>
      <c r="B58" t="s">
        <v>353</v>
      </c>
      <c r="C58" t="s">
        <v>354</v>
      </c>
    </row>
    <row r="59" spans="1:4">
      <c r="A59" t="str">
        <f t="shared" si="0"/>
        <v>A22012-SCHMIDT</v>
      </c>
      <c r="B59" t="s">
        <v>355</v>
      </c>
      <c r="C59" t="s">
        <v>356</v>
      </c>
    </row>
    <row r="60" spans="1:4">
      <c r="A60" t="str">
        <f t="shared" si="0"/>
        <v>A22014-BLUME</v>
      </c>
      <c r="B60" t="s">
        <v>357</v>
      </c>
      <c r="C60" t="s">
        <v>358</v>
      </c>
    </row>
    <row r="61" spans="1:4">
      <c r="A61" t="str">
        <f t="shared" si="0"/>
        <v>A22016-GISLESON</v>
      </c>
      <c r="B61" t="s">
        <v>1584</v>
      </c>
      <c r="C61" t="s">
        <v>1585</v>
      </c>
    </row>
    <row r="62" spans="1:4">
      <c r="A62" t="str">
        <f t="shared" si="0"/>
        <v>A22020-MUELLER</v>
      </c>
      <c r="B62" t="s">
        <v>1761</v>
      </c>
      <c r="C62" t="s">
        <v>1762</v>
      </c>
    </row>
    <row r="63" spans="1:4">
      <c r="A63" t="str">
        <f t="shared" si="0"/>
        <v>A22030-EBERHARDT</v>
      </c>
      <c r="B63" t="s">
        <v>1586</v>
      </c>
      <c r="C63" t="s">
        <v>1587</v>
      </c>
    </row>
    <row r="64" spans="1:4">
      <c r="A64" t="str">
        <f t="shared" si="0"/>
        <v>A22034-KRUSE</v>
      </c>
      <c r="B64" t="s">
        <v>1588</v>
      </c>
      <c r="C64" t="s">
        <v>846</v>
      </c>
      <c r="D64" t="s">
        <v>2076</v>
      </c>
    </row>
    <row r="65" spans="1:4">
      <c r="A65" t="str">
        <f t="shared" si="0"/>
        <v>A22038-FASSBINDER</v>
      </c>
      <c r="B65" t="s">
        <v>359</v>
      </c>
      <c r="C65" t="s">
        <v>360</v>
      </c>
    </row>
    <row r="66" spans="1:4">
      <c r="A66" t="str">
        <f t="shared" si="0"/>
        <v>A22040-HARTMAN</v>
      </c>
      <c r="B66" t="s">
        <v>361</v>
      </c>
      <c r="C66" t="s">
        <v>362</v>
      </c>
    </row>
    <row r="67" spans="1:4">
      <c r="A67" t="str">
        <f t="shared" si="0"/>
        <v>A22046-JOY SPRINGS-BURRACK</v>
      </c>
      <c r="B67" t="s">
        <v>2130</v>
      </c>
      <c r="C67" t="s">
        <v>2131</v>
      </c>
    </row>
    <row r="68" spans="1:4">
      <c r="A68" t="str">
        <f t="shared" si="0"/>
        <v>A22060-JOHNSON</v>
      </c>
      <c r="B68" t="s">
        <v>363</v>
      </c>
      <c r="C68" t="s">
        <v>364</v>
      </c>
    </row>
    <row r="69" spans="1:4">
      <c r="A69" t="str">
        <f t="shared" ref="A69:A132" si="1">CONCATENATE(B69,"-",C69)</f>
        <v>A22062-SNY MAGILL</v>
      </c>
      <c r="B69" t="s">
        <v>365</v>
      </c>
      <c r="C69" t="s">
        <v>366</v>
      </c>
    </row>
    <row r="70" spans="1:4">
      <c r="A70" t="str">
        <f t="shared" si="1"/>
        <v>A22068-MILLVILLE</v>
      </c>
      <c r="B70" t="s">
        <v>367</v>
      </c>
      <c r="C70" t="s">
        <v>368</v>
      </c>
    </row>
    <row r="71" spans="1:4">
      <c r="A71" t="str">
        <f t="shared" si="1"/>
        <v>A22070-BERNHARD/GIARD</v>
      </c>
      <c r="B71" t="s">
        <v>369</v>
      </c>
      <c r="C71" t="s">
        <v>370</v>
      </c>
    </row>
    <row r="72" spans="1:4">
      <c r="A72" t="str">
        <f t="shared" si="1"/>
        <v>A22074-STRAWBERRY POINT</v>
      </c>
      <c r="B72" t="s">
        <v>371</v>
      </c>
      <c r="C72" t="s">
        <v>372</v>
      </c>
    </row>
    <row r="73" spans="1:4">
      <c r="A73" t="str">
        <f t="shared" si="1"/>
        <v>A22084-MOYNA</v>
      </c>
      <c r="B73" t="s">
        <v>373</v>
      </c>
      <c r="C73" t="s">
        <v>374</v>
      </c>
    </row>
    <row r="74" spans="1:4">
      <c r="A74" t="str">
        <f t="shared" si="1"/>
        <v>A22090-FRENCHTOWN</v>
      </c>
      <c r="B74" t="s">
        <v>375</v>
      </c>
      <c r="C74" t="s">
        <v>376</v>
      </c>
      <c r="D74" t="s">
        <v>2076</v>
      </c>
    </row>
    <row r="75" spans="1:4">
      <c r="A75" t="str">
        <f t="shared" si="1"/>
        <v>A23002-ELWOOD-YEAGER</v>
      </c>
      <c r="B75" t="s">
        <v>377</v>
      </c>
      <c r="C75" t="s">
        <v>378</v>
      </c>
    </row>
    <row r="76" spans="1:4">
      <c r="A76" t="str">
        <f t="shared" si="1"/>
        <v>A23004-BEHR</v>
      </c>
      <c r="B76" t="s">
        <v>379</v>
      </c>
      <c r="C76" t="s">
        <v>380</v>
      </c>
    </row>
    <row r="77" spans="1:4">
      <c r="A77" t="str">
        <f t="shared" si="1"/>
        <v>A23006-SHAFFTON</v>
      </c>
      <c r="B77" t="s">
        <v>381</v>
      </c>
      <c r="C77" t="s">
        <v>382</v>
      </c>
    </row>
    <row r="78" spans="1:4">
      <c r="A78" t="str">
        <f t="shared" si="1"/>
        <v>A24512-DUNLAP</v>
      </c>
      <c r="B78" t="s">
        <v>385</v>
      </c>
      <c r="C78" t="s">
        <v>386</v>
      </c>
    </row>
    <row r="79" spans="1:4">
      <c r="A79" t="str">
        <f t="shared" si="1"/>
        <v>A25510-PERRY</v>
      </c>
      <c r="B79" t="s">
        <v>387</v>
      </c>
      <c r="C79" t="s">
        <v>388</v>
      </c>
    </row>
    <row r="80" spans="1:4">
      <c r="A80" t="str">
        <f t="shared" si="1"/>
        <v>A25514-BOONEVILLE</v>
      </c>
      <c r="B80" t="s">
        <v>389</v>
      </c>
      <c r="C80" t="s">
        <v>390</v>
      </c>
    </row>
    <row r="81" spans="1:4">
      <c r="A81" t="str">
        <f t="shared" si="1"/>
        <v>A25516-VAN METER SOUTH</v>
      </c>
      <c r="B81" t="s">
        <v>391</v>
      </c>
      <c r="C81" t="s">
        <v>392</v>
      </c>
    </row>
    <row r="82" spans="1:4">
      <c r="A82" t="str">
        <f t="shared" si="1"/>
        <v>A25518-RACCOON RIVER SAND</v>
      </c>
      <c r="B82" t="s">
        <v>393</v>
      </c>
      <c r="C82" t="s">
        <v>394</v>
      </c>
    </row>
    <row r="83" spans="1:4">
      <c r="A83" t="str">
        <f t="shared" si="1"/>
        <v>A25520-LEAGACY MATERIALS</v>
      </c>
      <c r="B83" t="s">
        <v>1766</v>
      </c>
      <c r="C83" t="s">
        <v>1875</v>
      </c>
    </row>
    <row r="84" spans="1:4">
      <c r="A84" t="str">
        <f t="shared" si="1"/>
        <v>A25522-BOONEVILLE WEST</v>
      </c>
      <c r="B84" t="s">
        <v>1876</v>
      </c>
      <c r="C84" t="s">
        <v>1877</v>
      </c>
    </row>
    <row r="85" spans="1:4">
      <c r="A85" t="str">
        <f t="shared" si="1"/>
        <v>A26004-LEWIS</v>
      </c>
      <c r="B85" t="s">
        <v>395</v>
      </c>
      <c r="C85" t="s">
        <v>318</v>
      </c>
    </row>
    <row r="86" spans="1:4">
      <c r="A86" t="str">
        <f t="shared" si="1"/>
        <v>A26006-BROWN</v>
      </c>
      <c r="B86" t="s">
        <v>396</v>
      </c>
      <c r="C86" t="s">
        <v>397</v>
      </c>
    </row>
    <row r="87" spans="1:4">
      <c r="A87" t="str">
        <f t="shared" si="1"/>
        <v>A28008-EDGEWOOD WEST</v>
      </c>
      <c r="B87" t="s">
        <v>398</v>
      </c>
      <c r="C87" t="s">
        <v>399</v>
      </c>
    </row>
    <row r="88" spans="1:4">
      <c r="A88" t="str">
        <f t="shared" si="1"/>
        <v>A28010-TIBBOTT</v>
      </c>
      <c r="B88" t="s">
        <v>1878</v>
      </c>
      <c r="C88" t="s">
        <v>1879</v>
      </c>
    </row>
    <row r="89" spans="1:4">
      <c r="A89" t="str">
        <f t="shared" si="1"/>
        <v>A28012-BAHL</v>
      </c>
      <c r="B89" t="s">
        <v>400</v>
      </c>
      <c r="C89" t="s">
        <v>2132</v>
      </c>
    </row>
    <row r="90" spans="1:4">
      <c r="A90" t="str">
        <f t="shared" si="1"/>
        <v>A28014-LOGAN</v>
      </c>
      <c r="B90" t="s">
        <v>401</v>
      </c>
      <c r="C90" t="s">
        <v>402</v>
      </c>
    </row>
    <row r="91" spans="1:4">
      <c r="A91" t="str">
        <f t="shared" si="1"/>
        <v>A28016-WHITE</v>
      </c>
      <c r="B91" t="s">
        <v>403</v>
      </c>
      <c r="C91" t="s">
        <v>404</v>
      </c>
    </row>
    <row r="92" spans="1:4">
      <c r="A92" t="str">
        <f t="shared" si="1"/>
        <v>A28038-EDGEWOOD EAST</v>
      </c>
      <c r="B92" t="s">
        <v>405</v>
      </c>
      <c r="C92" t="s">
        <v>406</v>
      </c>
    </row>
    <row r="93" spans="1:4">
      <c r="A93" t="str">
        <f t="shared" si="1"/>
        <v>A28040-KRAPFL</v>
      </c>
      <c r="B93" t="s">
        <v>407</v>
      </c>
      <c r="C93" t="s">
        <v>408</v>
      </c>
      <c r="D93" t="s">
        <v>2076</v>
      </c>
    </row>
    <row r="94" spans="1:4">
      <c r="A94" t="str">
        <f t="shared" si="1"/>
        <v>A28044-DUNDEE</v>
      </c>
      <c r="B94" t="s">
        <v>409</v>
      </c>
      <c r="C94" t="s">
        <v>410</v>
      </c>
    </row>
    <row r="95" spans="1:4">
      <c r="A95" t="str">
        <f t="shared" si="1"/>
        <v>A28052-MANCHESTER</v>
      </c>
      <c r="B95" t="s">
        <v>411</v>
      </c>
      <c r="C95" t="s">
        <v>412</v>
      </c>
    </row>
    <row r="96" spans="1:4">
      <c r="A96" t="str">
        <f t="shared" si="1"/>
        <v>A29002-MEDIAPOLIS</v>
      </c>
      <c r="B96" t="s">
        <v>413</v>
      </c>
      <c r="C96" t="s">
        <v>2077</v>
      </c>
    </row>
    <row r="97" spans="1:4">
      <c r="A97" t="str">
        <f t="shared" si="1"/>
        <v>A29008-NELSON</v>
      </c>
      <c r="B97" t="s">
        <v>414</v>
      </c>
      <c r="C97" t="s">
        <v>344</v>
      </c>
    </row>
    <row r="98" spans="1:4">
      <c r="A98" t="str">
        <f t="shared" si="1"/>
        <v>A29502-SPRING GROVE</v>
      </c>
      <c r="B98" t="s">
        <v>415</v>
      </c>
      <c r="C98" t="s">
        <v>416</v>
      </c>
    </row>
    <row r="99" spans="1:4">
      <c r="A99" t="str">
        <f t="shared" si="1"/>
        <v>A30508-FOSTORIA/LOST</v>
      </c>
      <c r="B99" t="s">
        <v>417</v>
      </c>
      <c r="C99" t="s">
        <v>418</v>
      </c>
    </row>
    <row r="100" spans="1:4">
      <c r="A100" t="str">
        <f t="shared" si="1"/>
        <v>A30510-WEDEKING</v>
      </c>
      <c r="B100" t="s">
        <v>419</v>
      </c>
      <c r="C100" t="s">
        <v>420</v>
      </c>
    </row>
    <row r="101" spans="1:4">
      <c r="A101" t="str">
        <f t="shared" si="1"/>
        <v>A30514-MILFORD/LEITH</v>
      </c>
      <c r="B101" t="s">
        <v>2133</v>
      </c>
      <c r="C101" t="s">
        <v>2134</v>
      </c>
    </row>
    <row r="102" spans="1:4">
      <c r="A102" t="str">
        <f t="shared" si="1"/>
        <v>A30520-MILFORD/DERNER</v>
      </c>
      <c r="B102" t="s">
        <v>421</v>
      </c>
      <c r="C102" t="s">
        <v>422</v>
      </c>
    </row>
    <row r="103" spans="1:4">
      <c r="A103" t="str">
        <f t="shared" si="1"/>
        <v>A31002-ROSE SPUR</v>
      </c>
      <c r="B103" t="s">
        <v>423</v>
      </c>
      <c r="C103" t="s">
        <v>424</v>
      </c>
    </row>
    <row r="104" spans="1:4">
      <c r="A104" t="str">
        <f t="shared" si="1"/>
        <v>A31006-DYERSVILLE EAST</v>
      </c>
      <c r="B104" t="s">
        <v>425</v>
      </c>
      <c r="C104" t="s">
        <v>426</v>
      </c>
    </row>
    <row r="105" spans="1:4">
      <c r="A105" t="str">
        <f t="shared" si="1"/>
        <v>A31008-KLEIN-RICHARDSVILLE</v>
      </c>
      <c r="B105" t="s">
        <v>427</v>
      </c>
      <c r="C105" t="s">
        <v>428</v>
      </c>
    </row>
    <row r="106" spans="1:4">
      <c r="A106" t="str">
        <f t="shared" si="1"/>
        <v>A31010-BROWN</v>
      </c>
      <c r="B106" t="s">
        <v>429</v>
      </c>
      <c r="C106" t="s">
        <v>397</v>
      </c>
    </row>
    <row r="107" spans="1:4">
      <c r="A107" t="str">
        <f t="shared" si="1"/>
        <v>A31014-KURT</v>
      </c>
      <c r="B107" t="s">
        <v>430</v>
      </c>
      <c r="C107" t="s">
        <v>431</v>
      </c>
      <c r="D107" t="s">
        <v>2076</v>
      </c>
    </row>
    <row r="108" spans="1:4">
      <c r="A108" t="str">
        <f t="shared" si="1"/>
        <v>A31018-MELOY</v>
      </c>
      <c r="B108" t="s">
        <v>432</v>
      </c>
      <c r="C108" t="s">
        <v>433</v>
      </c>
    </row>
    <row r="109" spans="1:4">
      <c r="A109" t="str">
        <f t="shared" si="1"/>
        <v>A31020-SCHLITCHE</v>
      </c>
      <c r="B109" t="s">
        <v>434</v>
      </c>
      <c r="C109" t="s">
        <v>435</v>
      </c>
    </row>
    <row r="110" spans="1:4">
      <c r="A110" t="str">
        <f t="shared" si="1"/>
        <v>A31026-ARNSDORF</v>
      </c>
      <c r="B110" t="s">
        <v>436</v>
      </c>
      <c r="C110" t="s">
        <v>437</v>
      </c>
    </row>
    <row r="111" spans="1:4">
      <c r="A111" t="str">
        <f t="shared" si="1"/>
        <v>A31028-THOLE</v>
      </c>
      <c r="B111" t="s">
        <v>438</v>
      </c>
      <c r="C111" t="s">
        <v>439</v>
      </c>
    </row>
    <row r="112" spans="1:4">
      <c r="A112" t="str">
        <f t="shared" si="1"/>
        <v>A31032-REITER</v>
      </c>
      <c r="B112" t="s">
        <v>440</v>
      </c>
      <c r="C112" t="s">
        <v>2135</v>
      </c>
    </row>
    <row r="113" spans="1:4">
      <c r="A113" t="str">
        <f t="shared" si="1"/>
        <v>A31046-DECKER</v>
      </c>
      <c r="B113" t="s">
        <v>441</v>
      </c>
      <c r="C113" t="s">
        <v>442</v>
      </c>
    </row>
    <row r="114" spans="1:4">
      <c r="A114" t="str">
        <f t="shared" si="1"/>
        <v>A31048-MCDERMOTT</v>
      </c>
      <c r="B114" t="s">
        <v>443</v>
      </c>
      <c r="C114" t="s">
        <v>444</v>
      </c>
    </row>
    <row r="115" spans="1:4">
      <c r="A115" t="str">
        <f t="shared" si="1"/>
        <v>A31050-PLOESSEL-DYERSVILLE</v>
      </c>
      <c r="B115" t="s">
        <v>445</v>
      </c>
      <c r="C115" t="s">
        <v>446</v>
      </c>
    </row>
    <row r="116" spans="1:4">
      <c r="A116" t="str">
        <f t="shared" si="1"/>
        <v>A31052-EPWORTH-KIDDER</v>
      </c>
      <c r="B116" t="s">
        <v>447</v>
      </c>
      <c r="C116" t="s">
        <v>448</v>
      </c>
    </row>
    <row r="117" spans="1:4">
      <c r="A117" t="str">
        <f t="shared" si="1"/>
        <v>A31056-RUBIE</v>
      </c>
      <c r="B117" t="s">
        <v>449</v>
      </c>
      <c r="C117" t="s">
        <v>450</v>
      </c>
      <c r="D117" t="s">
        <v>2076</v>
      </c>
    </row>
    <row r="118" spans="1:4">
      <c r="A118" t="str">
        <f t="shared" si="1"/>
        <v>A31060-CASCADE EAST</v>
      </c>
      <c r="B118" t="s">
        <v>451</v>
      </c>
      <c r="C118" t="s">
        <v>452</v>
      </c>
      <c r="D118" t="s">
        <v>2076</v>
      </c>
    </row>
    <row r="119" spans="1:4">
      <c r="A119" t="str">
        <f t="shared" si="1"/>
        <v>A31066-FILLMORE</v>
      </c>
      <c r="B119" t="s">
        <v>454</v>
      </c>
      <c r="C119" t="s">
        <v>455</v>
      </c>
    </row>
    <row r="120" spans="1:4">
      <c r="A120" t="str">
        <f t="shared" si="1"/>
        <v>A31068-DYERSVILLE-MAIERS</v>
      </c>
      <c r="B120" t="s">
        <v>456</v>
      </c>
      <c r="C120" t="s">
        <v>457</v>
      </c>
    </row>
    <row r="121" spans="1:4">
      <c r="A121" t="str">
        <f t="shared" si="1"/>
        <v>A32502-ESTHERVILLE</v>
      </c>
      <c r="B121" t="s">
        <v>458</v>
      </c>
      <c r="C121" t="s">
        <v>459</v>
      </c>
    </row>
    <row r="122" spans="1:4">
      <c r="A122" t="str">
        <f t="shared" si="1"/>
        <v>A32530-ESTHERVILLE/WHITE</v>
      </c>
      <c r="B122" t="s">
        <v>460</v>
      </c>
      <c r="C122" t="s">
        <v>461</v>
      </c>
    </row>
    <row r="123" spans="1:4">
      <c r="A123" t="str">
        <f t="shared" si="1"/>
        <v>A32538-JENSEN</v>
      </c>
      <c r="B123" t="s">
        <v>462</v>
      </c>
      <c r="C123" t="s">
        <v>463</v>
      </c>
    </row>
    <row r="124" spans="1:4">
      <c r="A124" t="str">
        <f t="shared" si="1"/>
        <v>A32548-LILLAND</v>
      </c>
      <c r="B124" t="s">
        <v>464</v>
      </c>
      <c r="C124" t="s">
        <v>465</v>
      </c>
    </row>
    <row r="125" spans="1:4">
      <c r="A125" t="str">
        <f t="shared" si="1"/>
        <v>A33002-ELDORADO-JACOBSEN</v>
      </c>
      <c r="B125" t="s">
        <v>466</v>
      </c>
      <c r="C125" t="s">
        <v>467</v>
      </c>
      <c r="D125" t="s">
        <v>2076</v>
      </c>
    </row>
    <row r="126" spans="1:4">
      <c r="A126" t="str">
        <f t="shared" si="1"/>
        <v>A33024-WAUCOMA</v>
      </c>
      <c r="B126" t="s">
        <v>468</v>
      </c>
      <c r="C126" t="s">
        <v>469</v>
      </c>
      <c r="D126" t="s">
        <v>2076</v>
      </c>
    </row>
    <row r="127" spans="1:4">
      <c r="A127" t="str">
        <f t="shared" si="1"/>
        <v>A33038-PAPE</v>
      </c>
      <c r="B127" t="s">
        <v>470</v>
      </c>
      <c r="C127" t="s">
        <v>471</v>
      </c>
      <c r="D127" t="s">
        <v>2076</v>
      </c>
    </row>
    <row r="128" spans="1:4">
      <c r="A128" t="str">
        <f t="shared" si="1"/>
        <v>A34002-CARVILLE-BUNN</v>
      </c>
      <c r="B128" t="s">
        <v>472</v>
      </c>
      <c r="C128" t="s">
        <v>473</v>
      </c>
    </row>
    <row r="129" spans="1:4">
      <c r="A129" t="str">
        <f t="shared" si="1"/>
        <v>A34004-MAXON</v>
      </c>
      <c r="B129" t="s">
        <v>474</v>
      </c>
      <c r="C129" t="s">
        <v>475</v>
      </c>
    </row>
    <row r="130" spans="1:4">
      <c r="A130" t="str">
        <f t="shared" si="1"/>
        <v>A34008-WARNHOLTZ</v>
      </c>
      <c r="B130" t="s">
        <v>476</v>
      </c>
      <c r="C130" t="s">
        <v>477</v>
      </c>
    </row>
    <row r="131" spans="1:4">
      <c r="A131" t="str">
        <f t="shared" si="1"/>
        <v>A34010-LACOSTE</v>
      </c>
      <c r="B131" t="s">
        <v>478</v>
      </c>
      <c r="C131" t="s">
        <v>2078</v>
      </c>
      <c r="D131" t="s">
        <v>2076</v>
      </c>
    </row>
    <row r="132" spans="1:4">
      <c r="A132" t="str">
        <f t="shared" si="1"/>
        <v>A34018-JONES</v>
      </c>
      <c r="B132" t="s">
        <v>480</v>
      </c>
      <c r="C132" t="s">
        <v>481</v>
      </c>
      <c r="D132" t="s">
        <v>2076</v>
      </c>
    </row>
    <row r="133" spans="1:4">
      <c r="A133" t="str">
        <f t="shared" ref="A133:A196" si="2">CONCATENATE(B133,"-",C133)</f>
        <v>A34502-ROCKFORD</v>
      </c>
      <c r="B133" t="s">
        <v>482</v>
      </c>
      <c r="C133" t="s">
        <v>483</v>
      </c>
    </row>
    <row r="134" spans="1:4">
      <c r="A134" t="str">
        <f t="shared" si="2"/>
        <v>A34516-CEDAR ACRE RESORT</v>
      </c>
      <c r="B134" t="s">
        <v>484</v>
      </c>
      <c r="C134" t="s">
        <v>1880</v>
      </c>
    </row>
    <row r="135" spans="1:4">
      <c r="A135" t="str">
        <f t="shared" si="2"/>
        <v>A34520-FOOTHILL</v>
      </c>
      <c r="B135" t="s">
        <v>485</v>
      </c>
      <c r="C135" t="s">
        <v>1589</v>
      </c>
    </row>
    <row r="136" spans="1:4">
      <c r="A136" t="str">
        <f t="shared" si="2"/>
        <v>A35502-GENEVA</v>
      </c>
      <c r="B136" t="s">
        <v>486</v>
      </c>
      <c r="C136" t="s">
        <v>487</v>
      </c>
    </row>
    <row r="137" spans="1:4">
      <c r="A137" t="str">
        <f t="shared" si="2"/>
        <v>A35522-MCDOWELL SAND</v>
      </c>
      <c r="B137" t="s">
        <v>488</v>
      </c>
      <c r="C137" t="s">
        <v>489</v>
      </c>
    </row>
    <row r="138" spans="1:4">
      <c r="A138" t="str">
        <f t="shared" si="2"/>
        <v>A37504-JEFFERSON</v>
      </c>
      <c r="B138" t="s">
        <v>490</v>
      </c>
      <c r="C138" t="s">
        <v>261</v>
      </c>
    </row>
    <row r="139" spans="1:4">
      <c r="A139" t="str">
        <f t="shared" si="2"/>
        <v>A37520-JEFFERSON</v>
      </c>
      <c r="B139" t="s">
        <v>491</v>
      </c>
      <c r="C139" t="s">
        <v>261</v>
      </c>
    </row>
    <row r="140" spans="1:4">
      <c r="A140" t="str">
        <f t="shared" si="2"/>
        <v>A40006-GRANDGEORGE</v>
      </c>
      <c r="B140" t="s">
        <v>493</v>
      </c>
      <c r="C140" t="s">
        <v>494</v>
      </c>
      <c r="D140" t="s">
        <v>2076</v>
      </c>
    </row>
    <row r="141" spans="1:4">
      <c r="A141" t="str">
        <f t="shared" si="2"/>
        <v>A41002-GARNER NORTH</v>
      </c>
      <c r="B141" t="s">
        <v>495</v>
      </c>
      <c r="C141" t="s">
        <v>496</v>
      </c>
      <c r="D141" t="s">
        <v>2076</v>
      </c>
    </row>
    <row r="142" spans="1:4">
      <c r="A142" t="str">
        <f t="shared" si="2"/>
        <v>A42002-ALDEN</v>
      </c>
      <c r="B142" t="s">
        <v>497</v>
      </c>
      <c r="C142" t="s">
        <v>498</v>
      </c>
      <c r="D142" t="s">
        <v>2076</v>
      </c>
    </row>
    <row r="143" spans="1:4">
      <c r="A143" t="str">
        <f t="shared" si="2"/>
        <v>A42532-H &amp; M FARMS</v>
      </c>
      <c r="B143" t="s">
        <v>907</v>
      </c>
      <c r="C143" t="s">
        <v>908</v>
      </c>
    </row>
    <row r="144" spans="1:4">
      <c r="A144" t="str">
        <f t="shared" si="2"/>
        <v>A43512-WOODBINE-MCCANN</v>
      </c>
      <c r="B144" t="s">
        <v>499</v>
      </c>
      <c r="C144" t="s">
        <v>500</v>
      </c>
    </row>
    <row r="145" spans="1:4">
      <c r="A145" t="str">
        <f t="shared" si="2"/>
        <v>A44006-LEEPER</v>
      </c>
      <c r="B145" t="s">
        <v>501</v>
      </c>
      <c r="C145" t="s">
        <v>502</v>
      </c>
    </row>
    <row r="146" spans="1:4">
      <c r="A146" t="str">
        <f t="shared" si="2"/>
        <v>A45006-NELSON</v>
      </c>
      <c r="B146" t="s">
        <v>503</v>
      </c>
      <c r="C146" t="s">
        <v>344</v>
      </c>
    </row>
    <row r="147" spans="1:4">
      <c r="A147" t="str">
        <f t="shared" si="2"/>
        <v>A45008-DOTZLER</v>
      </c>
      <c r="B147" t="s">
        <v>504</v>
      </c>
      <c r="C147" t="s">
        <v>505</v>
      </c>
    </row>
    <row r="148" spans="1:4">
      <c r="A148" t="str">
        <f t="shared" si="2"/>
        <v>A45010-DALEY</v>
      </c>
      <c r="B148" t="s">
        <v>506</v>
      </c>
      <c r="C148" t="s">
        <v>507</v>
      </c>
    </row>
    <row r="149" spans="1:4">
      <c r="A149" t="str">
        <f t="shared" si="2"/>
        <v>A45028-ELMA</v>
      </c>
      <c r="B149" t="s">
        <v>508</v>
      </c>
      <c r="C149" t="s">
        <v>509</v>
      </c>
    </row>
    <row r="150" spans="1:4">
      <c r="A150" t="str">
        <f t="shared" si="2"/>
        <v>A45504-ECKERMAN</v>
      </c>
      <c r="B150" t="s">
        <v>510</v>
      </c>
      <c r="C150" t="s">
        <v>511</v>
      </c>
    </row>
    <row r="151" spans="1:4">
      <c r="A151" t="str">
        <f t="shared" si="2"/>
        <v>A45508-SOVEREIGN</v>
      </c>
      <c r="B151" t="s">
        <v>512</v>
      </c>
      <c r="C151" t="s">
        <v>513</v>
      </c>
    </row>
    <row r="152" spans="1:4">
      <c r="A152" t="str">
        <f t="shared" si="2"/>
        <v>A46004-GRIFFITH</v>
      </c>
      <c r="B152" t="s">
        <v>514</v>
      </c>
      <c r="C152" t="s">
        <v>515</v>
      </c>
      <c r="D152" t="s">
        <v>2076</v>
      </c>
    </row>
    <row r="153" spans="1:4">
      <c r="A153" t="str">
        <f t="shared" si="2"/>
        <v>A46006-HODGES</v>
      </c>
      <c r="B153" t="s">
        <v>516</v>
      </c>
      <c r="C153" t="s">
        <v>517</v>
      </c>
    </row>
    <row r="154" spans="1:4">
      <c r="A154" t="str">
        <f t="shared" si="2"/>
        <v>A46014-PEDERSEN</v>
      </c>
      <c r="B154" t="s">
        <v>518</v>
      </c>
      <c r="C154" t="s">
        <v>519</v>
      </c>
    </row>
    <row r="155" spans="1:4">
      <c r="A155" t="str">
        <f t="shared" si="2"/>
        <v>A46018-MOORE EAST</v>
      </c>
      <c r="B155" t="s">
        <v>521</v>
      </c>
      <c r="C155" t="s">
        <v>522</v>
      </c>
      <c r="D155" t="s">
        <v>2076</v>
      </c>
    </row>
    <row r="156" spans="1:4">
      <c r="A156" t="str">
        <f t="shared" si="2"/>
        <v>A46518-PEDERSEN</v>
      </c>
      <c r="B156" t="s">
        <v>523</v>
      </c>
      <c r="C156" t="s">
        <v>519</v>
      </c>
    </row>
    <row r="157" spans="1:4">
      <c r="A157" t="str">
        <f t="shared" si="2"/>
        <v>A47504-CROCKER</v>
      </c>
      <c r="B157" t="s">
        <v>2136</v>
      </c>
      <c r="C157" t="s">
        <v>2137</v>
      </c>
    </row>
    <row r="158" spans="1:4">
      <c r="A158" t="str">
        <f t="shared" si="2"/>
        <v>A49002-BELLEVUE</v>
      </c>
      <c r="B158" t="s">
        <v>524</v>
      </c>
      <c r="C158" t="s">
        <v>525</v>
      </c>
    </row>
    <row r="159" spans="1:4">
      <c r="A159" t="str">
        <f t="shared" si="2"/>
        <v>A49008-IRON HILL</v>
      </c>
      <c r="B159" t="s">
        <v>526</v>
      </c>
      <c r="C159" t="s">
        <v>527</v>
      </c>
    </row>
    <row r="160" spans="1:4">
      <c r="A160" t="str">
        <f t="shared" si="2"/>
        <v>A49010-ANDREW</v>
      </c>
      <c r="B160" t="s">
        <v>528</v>
      </c>
      <c r="C160" t="s">
        <v>529</v>
      </c>
      <c r="D160" t="s">
        <v>2076</v>
      </c>
    </row>
    <row r="161" spans="1:4">
      <c r="A161" t="str">
        <f t="shared" si="2"/>
        <v>A49012-FROST</v>
      </c>
      <c r="B161" t="s">
        <v>530</v>
      </c>
      <c r="C161" t="s">
        <v>531</v>
      </c>
      <c r="D161" t="s">
        <v>2076</v>
      </c>
    </row>
    <row r="162" spans="1:4">
      <c r="A162" t="str">
        <f t="shared" si="2"/>
        <v>A49020-PRESTON</v>
      </c>
      <c r="B162" t="s">
        <v>532</v>
      </c>
      <c r="C162" t="s">
        <v>533</v>
      </c>
    </row>
    <row r="163" spans="1:4">
      <c r="A163" t="str">
        <f t="shared" si="2"/>
        <v>A49021-PRESTON R/M</v>
      </c>
      <c r="B163" t="s">
        <v>534</v>
      </c>
      <c r="C163" t="s">
        <v>535</v>
      </c>
    </row>
    <row r="164" spans="1:4">
      <c r="A164" t="str">
        <f t="shared" si="2"/>
        <v>A49024-MAQUOKETA EAST</v>
      </c>
      <c r="B164" t="s">
        <v>536</v>
      </c>
      <c r="C164" t="s">
        <v>537</v>
      </c>
    </row>
    <row r="165" spans="1:4">
      <c r="A165" t="str">
        <f t="shared" si="2"/>
        <v>A49060-ST DONATUS</v>
      </c>
      <c r="B165" t="s">
        <v>539</v>
      </c>
      <c r="C165" t="s">
        <v>540</v>
      </c>
    </row>
    <row r="166" spans="1:4">
      <c r="A166" t="str">
        <f t="shared" si="2"/>
        <v>A49064-VEACH</v>
      </c>
      <c r="B166" t="s">
        <v>1881</v>
      </c>
      <c r="C166" t="s">
        <v>1882</v>
      </c>
    </row>
    <row r="167" spans="1:4">
      <c r="A167" t="str">
        <f t="shared" si="2"/>
        <v>A49068-BELLEVUE FARM</v>
      </c>
      <c r="B167" t="s">
        <v>1883</v>
      </c>
      <c r="C167" t="s">
        <v>545</v>
      </c>
    </row>
    <row r="168" spans="1:4">
      <c r="A168" t="str">
        <f t="shared" si="2"/>
        <v>A49506-BELLEVUE</v>
      </c>
      <c r="B168" t="s">
        <v>541</v>
      </c>
      <c r="C168" t="s">
        <v>525</v>
      </c>
      <c r="D168" t="s">
        <v>2076</v>
      </c>
    </row>
    <row r="169" spans="1:4">
      <c r="A169" t="str">
        <f t="shared" si="2"/>
        <v>A49516-TURNER</v>
      </c>
      <c r="B169" t="s">
        <v>542</v>
      </c>
      <c r="C169" t="s">
        <v>543</v>
      </c>
      <c r="D169" t="s">
        <v>2076</v>
      </c>
    </row>
    <row r="170" spans="1:4">
      <c r="A170" t="str">
        <f t="shared" si="2"/>
        <v>A49526-BELLEVUE FARM</v>
      </c>
      <c r="B170" t="s">
        <v>544</v>
      </c>
      <c r="C170" t="s">
        <v>545</v>
      </c>
      <c r="D170" t="s">
        <v>2076</v>
      </c>
    </row>
    <row r="171" spans="1:4">
      <c r="A171" t="str">
        <f t="shared" si="2"/>
        <v>A49530-PETERSON</v>
      </c>
      <c r="B171" t="s">
        <v>546</v>
      </c>
      <c r="C171" t="s">
        <v>538</v>
      </c>
      <c r="D171" t="s">
        <v>2076</v>
      </c>
    </row>
    <row r="172" spans="1:4">
      <c r="A172" t="str">
        <f t="shared" si="2"/>
        <v>A50002-SULLY MINE</v>
      </c>
      <c r="B172" t="s">
        <v>547</v>
      </c>
      <c r="C172" t="s">
        <v>548</v>
      </c>
    </row>
    <row r="173" spans="1:4">
      <c r="A173" t="str">
        <f t="shared" si="2"/>
        <v>A51006-FAIRFIELD</v>
      </c>
      <c r="B173" t="s">
        <v>549</v>
      </c>
      <c r="C173" t="s">
        <v>2079</v>
      </c>
    </row>
    <row r="174" spans="1:4">
      <c r="A174" t="str">
        <f t="shared" si="2"/>
        <v>A52004-CONKLIN</v>
      </c>
      <c r="B174" t="s">
        <v>550</v>
      </c>
      <c r="C174" t="s">
        <v>551</v>
      </c>
      <c r="D174" t="s">
        <v>2076</v>
      </c>
    </row>
    <row r="175" spans="1:4">
      <c r="A175" t="str">
        <f t="shared" si="2"/>
        <v>A52006-KLEIN</v>
      </c>
      <c r="B175" t="s">
        <v>552</v>
      </c>
      <c r="C175" t="s">
        <v>553</v>
      </c>
      <c r="D175" t="s">
        <v>2076</v>
      </c>
    </row>
    <row r="176" spans="1:4">
      <c r="A176" t="str">
        <f t="shared" si="2"/>
        <v>A52008-ERNST</v>
      </c>
      <c r="B176" t="s">
        <v>1884</v>
      </c>
      <c r="C176" t="s">
        <v>1885</v>
      </c>
    </row>
    <row r="177" spans="1:4">
      <c r="A177" t="str">
        <f t="shared" si="2"/>
        <v>A53002-FARMERS-BEHRENDS</v>
      </c>
      <c r="B177" t="s">
        <v>554</v>
      </c>
      <c r="C177" t="s">
        <v>555</v>
      </c>
    </row>
    <row r="178" spans="1:4">
      <c r="A178" t="str">
        <f t="shared" si="2"/>
        <v>A53010-BALLOU-OLIN</v>
      </c>
      <c r="B178" t="s">
        <v>556</v>
      </c>
      <c r="C178" t="s">
        <v>557</v>
      </c>
      <c r="D178" t="s">
        <v>2076</v>
      </c>
    </row>
    <row r="179" spans="1:4">
      <c r="A179" t="str">
        <f t="shared" si="2"/>
        <v>A53016-STONE CITY</v>
      </c>
      <c r="B179" t="s">
        <v>558</v>
      </c>
      <c r="C179" t="s">
        <v>559</v>
      </c>
    </row>
    <row r="180" spans="1:4">
      <c r="A180" t="str">
        <f t="shared" si="2"/>
        <v>A53018-FINN</v>
      </c>
      <c r="B180" t="s">
        <v>560</v>
      </c>
      <c r="C180" t="s">
        <v>561</v>
      </c>
    </row>
    <row r="181" spans="1:4">
      <c r="A181" t="str">
        <f t="shared" si="2"/>
        <v>A53024-SULLIVAN</v>
      </c>
      <c r="B181" t="s">
        <v>562</v>
      </c>
      <c r="C181" t="s">
        <v>563</v>
      </c>
    </row>
    <row r="182" spans="1:4">
      <c r="A182" t="str">
        <f t="shared" si="2"/>
        <v>A53026-ANAMOSA</v>
      </c>
      <c r="B182" t="s">
        <v>564</v>
      </c>
      <c r="C182" t="s">
        <v>565</v>
      </c>
    </row>
    <row r="183" spans="1:4">
      <c r="A183" t="str">
        <f t="shared" si="2"/>
        <v>A54002-KESWICK</v>
      </c>
      <c r="B183" t="s">
        <v>566</v>
      </c>
      <c r="C183" t="s">
        <v>567</v>
      </c>
    </row>
    <row r="184" spans="1:4">
      <c r="A184" t="str">
        <f t="shared" si="2"/>
        <v>A54004-OLLIE</v>
      </c>
      <c r="B184" t="s">
        <v>568</v>
      </c>
      <c r="C184" t="s">
        <v>569</v>
      </c>
    </row>
    <row r="185" spans="1:4">
      <c r="A185" t="str">
        <f t="shared" si="2"/>
        <v>A54010-LYLE MINE</v>
      </c>
      <c r="B185" t="s">
        <v>570</v>
      </c>
      <c r="C185" t="s">
        <v>571</v>
      </c>
    </row>
    <row r="186" spans="1:4">
      <c r="A186" t="str">
        <f t="shared" si="2"/>
        <v>A56016-HERITAGE</v>
      </c>
      <c r="B186" t="s">
        <v>573</v>
      </c>
      <c r="C186" t="s">
        <v>574</v>
      </c>
    </row>
    <row r="187" spans="1:4">
      <c r="A187" t="str">
        <f t="shared" si="2"/>
        <v>A57002-BETENBENDER-COGGON</v>
      </c>
      <c r="B187" t="s">
        <v>575</v>
      </c>
      <c r="C187" t="s">
        <v>576</v>
      </c>
    </row>
    <row r="188" spans="1:4">
      <c r="A188" t="str">
        <f t="shared" si="2"/>
        <v>A57006-ROBINS</v>
      </c>
      <c r="B188" t="s">
        <v>577</v>
      </c>
      <c r="C188" t="s">
        <v>578</v>
      </c>
    </row>
    <row r="189" spans="1:4">
      <c r="A189" t="str">
        <f t="shared" si="2"/>
        <v>A57008-BOWSER-SPRINGVILLE</v>
      </c>
      <c r="B189" t="s">
        <v>579</v>
      </c>
      <c r="C189" t="s">
        <v>580</v>
      </c>
    </row>
    <row r="190" spans="1:4">
      <c r="A190" t="str">
        <f t="shared" si="2"/>
        <v>A57018-CEDAR RAPIDS</v>
      </c>
      <c r="B190" t="s">
        <v>581</v>
      </c>
      <c r="C190" t="s">
        <v>582</v>
      </c>
    </row>
    <row r="191" spans="1:4">
      <c r="A191" t="str">
        <f t="shared" si="2"/>
        <v>A57022-LEE CRAWFORD</v>
      </c>
      <c r="B191" t="s">
        <v>583</v>
      </c>
      <c r="C191" t="s">
        <v>584</v>
      </c>
    </row>
    <row r="192" spans="1:4">
      <c r="A192" t="str">
        <f t="shared" si="2"/>
        <v>A57028-CEDAR RAPIDS SOUTH</v>
      </c>
      <c r="B192" t="s">
        <v>585</v>
      </c>
      <c r="C192" t="s">
        <v>586</v>
      </c>
    </row>
    <row r="193" spans="1:4">
      <c r="A193" t="str">
        <f t="shared" si="2"/>
        <v>A57528-BLAIRSFERRY SAND</v>
      </c>
      <c r="B193" t="s">
        <v>587</v>
      </c>
      <c r="C193" t="s">
        <v>588</v>
      </c>
    </row>
    <row r="194" spans="1:4">
      <c r="A194" t="str">
        <f t="shared" si="2"/>
        <v>A58002-COLUMBUS JCT.</v>
      </c>
      <c r="B194" t="s">
        <v>589</v>
      </c>
      <c r="C194" t="s">
        <v>590</v>
      </c>
    </row>
    <row r="195" spans="1:4">
      <c r="A195" t="str">
        <f t="shared" si="2"/>
        <v>A60502-ROCK RAPIDS #1</v>
      </c>
      <c r="B195" t="s">
        <v>591</v>
      </c>
      <c r="C195" t="s">
        <v>592</v>
      </c>
    </row>
    <row r="196" spans="1:4">
      <c r="A196" t="str">
        <f t="shared" si="2"/>
        <v>A63002-DURHAM MINE</v>
      </c>
      <c r="B196" t="s">
        <v>593</v>
      </c>
      <c r="C196" t="s">
        <v>594</v>
      </c>
    </row>
    <row r="197" spans="1:4">
      <c r="A197" t="str">
        <f t="shared" ref="A197:A260" si="3">CONCATENATE(B197,"-",C197)</f>
        <v>A63010-KNOXVILLE QUARRY</v>
      </c>
      <c r="B197" t="s">
        <v>595</v>
      </c>
      <c r="C197" t="s">
        <v>2080</v>
      </c>
    </row>
    <row r="198" spans="1:4">
      <c r="A198" t="str">
        <f t="shared" si="3"/>
        <v>A63512-NEW HARVEY</v>
      </c>
      <c r="B198" t="s">
        <v>596</v>
      </c>
      <c r="C198" t="s">
        <v>597</v>
      </c>
    </row>
    <row r="199" spans="1:4">
      <c r="A199" t="str">
        <f t="shared" si="3"/>
        <v>A64002-FERGUSON</v>
      </c>
      <c r="B199" t="s">
        <v>598</v>
      </c>
      <c r="C199" t="s">
        <v>599</v>
      </c>
    </row>
    <row r="200" spans="1:4">
      <c r="A200" t="str">
        <f t="shared" si="3"/>
        <v>A64004-LE GRAND</v>
      </c>
      <c r="B200" t="s">
        <v>600</v>
      </c>
      <c r="C200" t="s">
        <v>601</v>
      </c>
    </row>
    <row r="201" spans="1:4">
      <c r="A201" t="str">
        <f t="shared" si="3"/>
        <v>A66002-DUENOW</v>
      </c>
      <c r="B201" t="s">
        <v>602</v>
      </c>
      <c r="C201" t="s">
        <v>603</v>
      </c>
      <c r="D201" t="s">
        <v>2076</v>
      </c>
    </row>
    <row r="202" spans="1:4">
      <c r="A202" t="str">
        <f t="shared" si="3"/>
        <v>A66016-LESCH</v>
      </c>
      <c r="B202" t="s">
        <v>604</v>
      </c>
      <c r="C202" t="s">
        <v>605</v>
      </c>
    </row>
    <row r="203" spans="1:4">
      <c r="A203" t="str">
        <f t="shared" si="3"/>
        <v>A66516-BOERJAN</v>
      </c>
      <c r="B203" t="s">
        <v>606</v>
      </c>
      <c r="C203" t="s">
        <v>607</v>
      </c>
    </row>
    <row r="204" spans="1:4">
      <c r="A204" t="str">
        <f t="shared" si="3"/>
        <v>A67502-RODNEY</v>
      </c>
      <c r="B204" t="s">
        <v>608</v>
      </c>
      <c r="C204" t="s">
        <v>609</v>
      </c>
    </row>
    <row r="205" spans="1:4">
      <c r="A205" t="str">
        <f t="shared" si="3"/>
        <v>A70002-MOSCOW</v>
      </c>
      <c r="B205" t="s">
        <v>610</v>
      </c>
      <c r="C205" t="s">
        <v>611</v>
      </c>
      <c r="D205" t="s">
        <v>2076</v>
      </c>
    </row>
    <row r="206" spans="1:4">
      <c r="A206" t="str">
        <f t="shared" si="3"/>
        <v>A70506-ACME</v>
      </c>
      <c r="B206" t="s">
        <v>612</v>
      </c>
      <c r="C206" t="s">
        <v>613</v>
      </c>
    </row>
    <row r="207" spans="1:4">
      <c r="A207" t="str">
        <f t="shared" si="3"/>
        <v>A72504-OCHEYEDAN</v>
      </c>
      <c r="B207" t="s">
        <v>614</v>
      </c>
      <c r="C207" t="s">
        <v>615</v>
      </c>
    </row>
    <row r="208" spans="1:4">
      <c r="A208" t="str">
        <f t="shared" si="3"/>
        <v>A72506-ASHTON</v>
      </c>
      <c r="B208" t="s">
        <v>616</v>
      </c>
      <c r="C208" t="s">
        <v>617</v>
      </c>
    </row>
    <row r="209" spans="1:4">
      <c r="A209" t="str">
        <f t="shared" si="3"/>
        <v>A72530-BOYD</v>
      </c>
      <c r="B209" t="s">
        <v>618</v>
      </c>
      <c r="C209" t="s">
        <v>619</v>
      </c>
    </row>
    <row r="210" spans="1:4">
      <c r="A210" t="str">
        <f t="shared" si="3"/>
        <v>A72534-ASHTON-SEIVERT</v>
      </c>
      <c r="B210" t="s">
        <v>620</v>
      </c>
      <c r="C210" t="s">
        <v>621</v>
      </c>
    </row>
    <row r="211" spans="1:4">
      <c r="A211" t="str">
        <f t="shared" si="3"/>
        <v>A73538-MONEY PIT #1</v>
      </c>
      <c r="B211" t="s">
        <v>1590</v>
      </c>
      <c r="C211" t="s">
        <v>1591</v>
      </c>
    </row>
    <row r="212" spans="1:4">
      <c r="A212" t="str">
        <f t="shared" si="3"/>
        <v>A73508-SHENANDOAH-CONNELL II</v>
      </c>
      <c r="B212" t="s">
        <v>622</v>
      </c>
      <c r="C212" t="s">
        <v>623</v>
      </c>
    </row>
    <row r="213" spans="1:4">
      <c r="A213" t="str">
        <f t="shared" si="3"/>
        <v>A74502-EMMETSBURG S&amp;G</v>
      </c>
      <c r="B213" t="s">
        <v>624</v>
      </c>
      <c r="C213" t="s">
        <v>625</v>
      </c>
    </row>
    <row r="214" spans="1:4">
      <c r="A214" t="str">
        <f t="shared" si="3"/>
        <v>A75502-AKRON</v>
      </c>
      <c r="B214" t="s">
        <v>626</v>
      </c>
      <c r="C214" t="s">
        <v>627</v>
      </c>
    </row>
    <row r="215" spans="1:4">
      <c r="A215" t="str">
        <f t="shared" si="3"/>
        <v>A75518-HINTON</v>
      </c>
      <c r="B215" t="s">
        <v>2138</v>
      </c>
      <c r="C215" t="s">
        <v>2139</v>
      </c>
    </row>
    <row r="216" spans="1:4">
      <c r="A216" t="str">
        <f t="shared" si="3"/>
        <v>A76004-MOORE</v>
      </c>
      <c r="B216" t="s">
        <v>628</v>
      </c>
      <c r="C216" t="s">
        <v>629</v>
      </c>
      <c r="D216" t="s">
        <v>2076</v>
      </c>
    </row>
    <row r="217" spans="1:4">
      <c r="A217" t="str">
        <f t="shared" si="3"/>
        <v>A77504-DENNY-JOHNSTON</v>
      </c>
      <c r="B217" t="s">
        <v>630</v>
      </c>
      <c r="C217" t="s">
        <v>631</v>
      </c>
    </row>
    <row r="218" spans="1:4">
      <c r="A218" t="str">
        <f t="shared" si="3"/>
        <v>A77522-EDM #2-VANDALIA</v>
      </c>
      <c r="B218" t="s">
        <v>632</v>
      </c>
      <c r="C218" t="s">
        <v>633</v>
      </c>
    </row>
    <row r="219" spans="1:4">
      <c r="A219" t="str">
        <f t="shared" si="3"/>
        <v>A77530-NORTH DES MOINES WHITE</v>
      </c>
      <c r="B219" t="s">
        <v>634</v>
      </c>
      <c r="C219" t="s">
        <v>1763</v>
      </c>
    </row>
    <row r="220" spans="1:4">
      <c r="A220" t="str">
        <f t="shared" si="3"/>
        <v>A77534-SAYLORVILLE SAND</v>
      </c>
      <c r="B220" t="s">
        <v>635</v>
      </c>
      <c r="C220" t="s">
        <v>636</v>
      </c>
    </row>
    <row r="221" spans="1:4">
      <c r="A221" t="str">
        <f t="shared" si="3"/>
        <v>A77538-NORTH DES MOINES HOVELAND</v>
      </c>
      <c r="B221" t="s">
        <v>1592</v>
      </c>
      <c r="C221" t="s">
        <v>1593</v>
      </c>
    </row>
    <row r="222" spans="1:4">
      <c r="A222" t="str">
        <f t="shared" si="3"/>
        <v>A78504-OAKLAND</v>
      </c>
      <c r="B222" t="s">
        <v>637</v>
      </c>
      <c r="C222" t="s">
        <v>638</v>
      </c>
    </row>
    <row r="223" spans="1:4">
      <c r="A223" t="str">
        <f t="shared" si="3"/>
        <v>A79002-MALCOM MINE</v>
      </c>
      <c r="B223" t="s">
        <v>639</v>
      </c>
      <c r="C223" t="s">
        <v>640</v>
      </c>
    </row>
    <row r="224" spans="1:4">
      <c r="A224" t="str">
        <f t="shared" si="3"/>
        <v>A81502-SACTON-LAKEVIEW</v>
      </c>
      <c r="B224" t="s">
        <v>641</v>
      </c>
      <c r="C224" t="s">
        <v>642</v>
      </c>
    </row>
    <row r="225" spans="1:4">
      <c r="A225" t="str">
        <f t="shared" si="3"/>
        <v>A81504-AUBURN</v>
      </c>
      <c r="B225" t="s">
        <v>643</v>
      </c>
      <c r="C225" t="s">
        <v>644</v>
      </c>
    </row>
    <row r="226" spans="1:4">
      <c r="A226" t="str">
        <f t="shared" si="3"/>
        <v>A81514-CARNARVON S&amp;G</v>
      </c>
      <c r="B226" t="s">
        <v>645</v>
      </c>
      <c r="C226" t="s">
        <v>646</v>
      </c>
    </row>
    <row r="227" spans="1:4">
      <c r="A227" t="str">
        <f t="shared" si="3"/>
        <v>A81528-WALL LAKE</v>
      </c>
      <c r="B227" t="s">
        <v>647</v>
      </c>
      <c r="C227" t="s">
        <v>648</v>
      </c>
    </row>
    <row r="228" spans="1:4">
      <c r="A228" t="str">
        <f t="shared" si="3"/>
        <v>A81542-WALL LAKE BOYER</v>
      </c>
      <c r="B228" t="s">
        <v>649</v>
      </c>
      <c r="C228" t="s">
        <v>650</v>
      </c>
    </row>
    <row r="229" spans="1:4">
      <c r="A229" t="str">
        <f t="shared" si="3"/>
        <v>A81544-ULMER-MEISTER</v>
      </c>
      <c r="B229" t="s">
        <v>651</v>
      </c>
      <c r="C229" t="s">
        <v>652</v>
      </c>
    </row>
    <row r="230" spans="1:4">
      <c r="A230" t="str">
        <f t="shared" si="3"/>
        <v>A81546-MEISTER</v>
      </c>
      <c r="B230" t="s">
        <v>653</v>
      </c>
      <c r="C230" t="s">
        <v>654</v>
      </c>
    </row>
    <row r="231" spans="1:4">
      <c r="A231" t="str">
        <f t="shared" si="3"/>
        <v>A82002-MCCAUSLAND(MC39)</v>
      </c>
      <c r="B231" t="s">
        <v>655</v>
      </c>
      <c r="C231" t="s">
        <v>656</v>
      </c>
    </row>
    <row r="232" spans="1:4">
      <c r="A232" t="str">
        <f t="shared" si="3"/>
        <v>A82004-NEW LIBERTY(MC41)</v>
      </c>
      <c r="B232" t="s">
        <v>657</v>
      </c>
      <c r="C232" t="s">
        <v>658</v>
      </c>
      <c r="D232" t="s">
        <v>2076</v>
      </c>
    </row>
    <row r="233" spans="1:4">
      <c r="A233" t="str">
        <f t="shared" si="3"/>
        <v>A82006-LECLAIRE(MC38)</v>
      </c>
      <c r="B233" t="s">
        <v>659</v>
      </c>
      <c r="C233" t="s">
        <v>660</v>
      </c>
    </row>
    <row r="234" spans="1:4">
      <c r="A234" t="str">
        <f t="shared" si="3"/>
        <v>A82008-LINWOOD MINE</v>
      </c>
      <c r="B234" t="s">
        <v>661</v>
      </c>
      <c r="C234" t="s">
        <v>662</v>
      </c>
      <c r="D234" t="s">
        <v>2076</v>
      </c>
    </row>
    <row r="235" spans="1:4">
      <c r="A235" t="str">
        <f t="shared" si="3"/>
        <v>A83506-HARLAN-REINIG</v>
      </c>
      <c r="B235" t="s">
        <v>663</v>
      </c>
      <c r="C235" t="s">
        <v>664</v>
      </c>
    </row>
    <row r="236" spans="1:4">
      <c r="A236" t="str">
        <f t="shared" si="3"/>
        <v>A84502-VANZEE</v>
      </c>
      <c r="B236" t="s">
        <v>665</v>
      </c>
      <c r="C236" t="s">
        <v>666</v>
      </c>
    </row>
    <row r="237" spans="1:4">
      <c r="A237" t="str">
        <f t="shared" si="3"/>
        <v>A84506-HUDSON-OSTERCAMP</v>
      </c>
      <c r="B237" t="s">
        <v>981</v>
      </c>
      <c r="C237" t="s">
        <v>982</v>
      </c>
    </row>
    <row r="238" spans="1:4">
      <c r="A238" t="str">
        <f t="shared" si="3"/>
        <v>A84510-HAWARDEN-NORTH</v>
      </c>
      <c r="B238" t="s">
        <v>667</v>
      </c>
      <c r="C238" t="s">
        <v>668</v>
      </c>
    </row>
    <row r="239" spans="1:4">
      <c r="A239" t="str">
        <f t="shared" si="3"/>
        <v>A84528-HIGMAN-CHATSWORTH</v>
      </c>
      <c r="B239" t="s">
        <v>669</v>
      </c>
      <c r="C239" t="s">
        <v>670</v>
      </c>
    </row>
    <row r="240" spans="1:4">
      <c r="A240" t="str">
        <f t="shared" si="3"/>
        <v>A84532-LASSON</v>
      </c>
      <c r="B240" t="s">
        <v>671</v>
      </c>
      <c r="C240" t="s">
        <v>672</v>
      </c>
    </row>
    <row r="241" spans="1:4">
      <c r="A241" t="str">
        <f t="shared" si="3"/>
        <v>A84536-VANBEEK</v>
      </c>
      <c r="B241" t="s">
        <v>673</v>
      </c>
      <c r="C241" t="s">
        <v>674</v>
      </c>
    </row>
    <row r="242" spans="1:4">
      <c r="A242" t="str">
        <f t="shared" si="3"/>
        <v>A84538-VAN'T HUL</v>
      </c>
      <c r="B242" t="s">
        <v>675</v>
      </c>
      <c r="C242" t="s">
        <v>676</v>
      </c>
    </row>
    <row r="243" spans="1:4">
      <c r="A243" t="str">
        <f t="shared" si="3"/>
        <v>A85006-AMES MINE</v>
      </c>
      <c r="B243" t="s">
        <v>677</v>
      </c>
      <c r="C243" t="s">
        <v>678</v>
      </c>
      <c r="D243" t="s">
        <v>2076</v>
      </c>
    </row>
    <row r="244" spans="1:4">
      <c r="A244" t="str">
        <f t="shared" si="3"/>
        <v>A85510-AMES SOUTH</v>
      </c>
      <c r="B244" t="s">
        <v>679</v>
      </c>
      <c r="C244" t="s">
        <v>680</v>
      </c>
    </row>
    <row r="245" spans="1:4">
      <c r="A245" t="str">
        <f t="shared" si="3"/>
        <v>A86002-MONTOUR</v>
      </c>
      <c r="B245" t="s">
        <v>681</v>
      </c>
      <c r="C245" t="s">
        <v>682</v>
      </c>
    </row>
    <row r="246" spans="1:4">
      <c r="A246" t="str">
        <f t="shared" si="3"/>
        <v>A86502-FLINT</v>
      </c>
      <c r="B246" t="s">
        <v>983</v>
      </c>
      <c r="C246" t="s">
        <v>984</v>
      </c>
    </row>
    <row r="247" spans="1:4">
      <c r="A247" t="str">
        <f t="shared" si="3"/>
        <v>A89002-DOUDS MINE</v>
      </c>
      <c r="B247" t="s">
        <v>683</v>
      </c>
      <c r="C247" t="s">
        <v>684</v>
      </c>
    </row>
    <row r="248" spans="1:4">
      <c r="A248" t="str">
        <f t="shared" si="3"/>
        <v>A89006-FARMINGTON-COMANCHE</v>
      </c>
      <c r="B248" t="s">
        <v>685</v>
      </c>
      <c r="C248" t="s">
        <v>686</v>
      </c>
    </row>
    <row r="249" spans="1:4">
      <c r="A249" t="str">
        <f t="shared" si="3"/>
        <v>A89008-SELMA-GARDNER</v>
      </c>
      <c r="B249" t="s">
        <v>687</v>
      </c>
      <c r="C249" t="s">
        <v>688</v>
      </c>
    </row>
    <row r="250" spans="1:4">
      <c r="A250" t="str">
        <f t="shared" si="3"/>
        <v>A90508-STEVENSON</v>
      </c>
      <c r="B250" t="s">
        <v>986</v>
      </c>
      <c r="C250" t="s">
        <v>987</v>
      </c>
    </row>
    <row r="251" spans="1:4">
      <c r="A251" t="str">
        <f t="shared" si="3"/>
        <v>A90510-CHILLICOTHE</v>
      </c>
      <c r="B251" t="s">
        <v>988</v>
      </c>
      <c r="C251" t="s">
        <v>989</v>
      </c>
    </row>
    <row r="252" spans="1:4">
      <c r="A252" t="str">
        <f t="shared" si="3"/>
        <v>A92002-WEST CHESTER</v>
      </c>
      <c r="B252" t="s">
        <v>689</v>
      </c>
      <c r="C252" t="s">
        <v>690</v>
      </c>
    </row>
    <row r="253" spans="1:4">
      <c r="A253" t="str">
        <f t="shared" si="3"/>
        <v>A94002-FT DODGE MINE</v>
      </c>
      <c r="B253" t="s">
        <v>691</v>
      </c>
      <c r="C253" t="s">
        <v>692</v>
      </c>
      <c r="D253" t="s">
        <v>2076</v>
      </c>
    </row>
    <row r="254" spans="1:4">
      <c r="A254" t="str">
        <f t="shared" si="3"/>
        <v>A96002-KENDALLVILLE</v>
      </c>
      <c r="B254" t="s">
        <v>694</v>
      </c>
      <c r="C254" t="s">
        <v>695</v>
      </c>
      <c r="D254" t="s">
        <v>2076</v>
      </c>
    </row>
    <row r="255" spans="1:4">
      <c r="A255" t="str">
        <f t="shared" si="3"/>
        <v>A96004-HOVEY</v>
      </c>
      <c r="B255" t="s">
        <v>696</v>
      </c>
      <c r="C255" t="s">
        <v>697</v>
      </c>
      <c r="D255" t="s">
        <v>2076</v>
      </c>
    </row>
    <row r="256" spans="1:4">
      <c r="A256" t="str">
        <f t="shared" si="3"/>
        <v>A96011-GJETLEY</v>
      </c>
      <c r="B256" t="s">
        <v>698</v>
      </c>
      <c r="C256" t="s">
        <v>699</v>
      </c>
      <c r="D256" t="s">
        <v>2076</v>
      </c>
    </row>
    <row r="257" spans="1:4">
      <c r="A257" t="str">
        <f t="shared" si="3"/>
        <v>A96017-SKYLINE B</v>
      </c>
      <c r="B257" t="s">
        <v>700</v>
      </c>
      <c r="C257" t="s">
        <v>701</v>
      </c>
      <c r="D257" t="s">
        <v>2076</v>
      </c>
    </row>
    <row r="258" spans="1:4">
      <c r="A258" t="str">
        <f t="shared" si="3"/>
        <v>A96052-ESTREM</v>
      </c>
      <c r="B258" t="s">
        <v>702</v>
      </c>
      <c r="C258" t="s">
        <v>703</v>
      </c>
    </row>
    <row r="259" spans="1:4">
      <c r="A259" t="str">
        <f t="shared" si="3"/>
        <v>A96064-STIKA</v>
      </c>
      <c r="B259" t="s">
        <v>704</v>
      </c>
      <c r="C259" t="s">
        <v>705</v>
      </c>
    </row>
    <row r="260" spans="1:4">
      <c r="A260" t="str">
        <f t="shared" si="3"/>
        <v>A96090-MCKENNA SOUTH</v>
      </c>
      <c r="B260" t="s">
        <v>707</v>
      </c>
      <c r="C260" t="s">
        <v>708</v>
      </c>
      <c r="D260" t="s">
        <v>2076</v>
      </c>
    </row>
    <row r="261" spans="1:4">
      <c r="A261" t="str">
        <f t="shared" ref="A261:A324" si="4">CONCATENATE(B261,"-",C261)</f>
        <v>A97502-CORRECTIONVILLE-BUCK</v>
      </c>
      <c r="B261" t="s">
        <v>709</v>
      </c>
      <c r="C261" t="s">
        <v>710</v>
      </c>
    </row>
    <row r="262" spans="1:4">
      <c r="A262" t="str">
        <f t="shared" si="4"/>
        <v>A97516-ANTHON</v>
      </c>
      <c r="B262" t="s">
        <v>711</v>
      </c>
      <c r="C262" t="s">
        <v>712</v>
      </c>
    </row>
    <row r="263" spans="1:4">
      <c r="A263" t="str">
        <f t="shared" si="4"/>
        <v>A97518-SMITHLAND</v>
      </c>
      <c r="B263" t="s">
        <v>713</v>
      </c>
      <c r="C263" t="s">
        <v>714</v>
      </c>
    </row>
    <row r="264" spans="1:4">
      <c r="A264" t="str">
        <f t="shared" si="4"/>
        <v>A97538-ANTHON-WRIGHT</v>
      </c>
      <c r="B264" t="s">
        <v>715</v>
      </c>
      <c r="C264" t="s">
        <v>716</v>
      </c>
    </row>
    <row r="265" spans="1:4">
      <c r="A265" t="str">
        <f t="shared" si="4"/>
        <v>A98010-FERTILE</v>
      </c>
      <c r="B265" t="s">
        <v>717</v>
      </c>
      <c r="C265" t="s">
        <v>718</v>
      </c>
    </row>
    <row r="266" spans="1:4">
      <c r="A266" t="str">
        <f t="shared" si="4"/>
        <v>A98014-STEVENS</v>
      </c>
      <c r="B266" t="s">
        <v>719</v>
      </c>
      <c r="C266" t="s">
        <v>720</v>
      </c>
    </row>
    <row r="267" spans="1:4">
      <c r="A267" t="str">
        <f t="shared" si="4"/>
        <v>A98016-EMIL OLSON-BOLTON</v>
      </c>
      <c r="B267" t="s">
        <v>721</v>
      </c>
      <c r="C267" t="s">
        <v>722</v>
      </c>
    </row>
    <row r="268" spans="1:4">
      <c r="A268" t="str">
        <f t="shared" si="4"/>
        <v>A98020-TRENHAILE</v>
      </c>
      <c r="B268" t="s">
        <v>723</v>
      </c>
      <c r="C268" t="s">
        <v>724</v>
      </c>
    </row>
    <row r="269" spans="1:4">
      <c r="A269" t="str">
        <f t="shared" si="4"/>
        <v>A98502-RANDALL TRANSIT MIX</v>
      </c>
      <c r="B269" t="s">
        <v>725</v>
      </c>
      <c r="C269" t="s">
        <v>726</v>
      </c>
    </row>
    <row r="270" spans="1:4">
      <c r="A270" t="str">
        <f t="shared" si="4"/>
        <v>A98504-FERTILE</v>
      </c>
      <c r="B270" t="s">
        <v>727</v>
      </c>
      <c r="C270" t="s">
        <v>718</v>
      </c>
      <c r="D270" t="s">
        <v>2076</v>
      </c>
    </row>
    <row r="271" spans="1:4">
      <c r="A271" t="str">
        <f t="shared" si="4"/>
        <v>A99002-VOSS</v>
      </c>
      <c r="B271" t="s">
        <v>728</v>
      </c>
      <c r="C271" t="s">
        <v>729</v>
      </c>
    </row>
    <row r="272" spans="1:4">
      <c r="A272" t="str">
        <f t="shared" si="4"/>
        <v>A99502-WRIGHT</v>
      </c>
      <c r="B272" t="s">
        <v>730</v>
      </c>
      <c r="C272" t="s">
        <v>731</v>
      </c>
    </row>
    <row r="273" spans="1:4">
      <c r="A273" t="str">
        <f t="shared" si="4"/>
        <v>AIL006-MIDWAY(MC45)</v>
      </c>
      <c r="B273" t="s">
        <v>732</v>
      </c>
      <c r="C273" t="s">
        <v>733</v>
      </c>
      <c r="D273" t="s">
        <v>2076</v>
      </c>
    </row>
    <row r="274" spans="1:4">
      <c r="A274" t="str">
        <f t="shared" si="4"/>
        <v>AIL010-ALLIED(MC30)</v>
      </c>
      <c r="B274" t="s">
        <v>734</v>
      </c>
      <c r="C274" t="s">
        <v>735</v>
      </c>
    </row>
    <row r="275" spans="1:4">
      <c r="A275" t="str">
        <f t="shared" si="4"/>
        <v>AIL014-DALLAS CITY</v>
      </c>
      <c r="B275" t="s">
        <v>736</v>
      </c>
      <c r="C275" t="s">
        <v>737</v>
      </c>
    </row>
    <row r="276" spans="1:4">
      <c r="A276" t="str">
        <f t="shared" si="4"/>
        <v>AIL016-CLEVELAND(MC31)</v>
      </c>
      <c r="B276" t="s">
        <v>738</v>
      </c>
      <c r="C276" t="s">
        <v>739</v>
      </c>
    </row>
    <row r="277" spans="1:4">
      <c r="A277" t="str">
        <f t="shared" si="4"/>
        <v>AIL020-HAMILTON</v>
      </c>
      <c r="B277" t="s">
        <v>740</v>
      </c>
      <c r="C277" t="s">
        <v>492</v>
      </c>
    </row>
    <row r="278" spans="1:4">
      <c r="A278" t="str">
        <f t="shared" si="4"/>
        <v>AIL028-TURNBAUGH</v>
      </c>
      <c r="B278" t="s">
        <v>1016</v>
      </c>
      <c r="C278" t="s">
        <v>1594</v>
      </c>
    </row>
    <row r="279" spans="1:4">
      <c r="A279" t="str">
        <f t="shared" si="4"/>
        <v>AIL046-BLUFF CITY MATERIALS</v>
      </c>
      <c r="B279" t="s">
        <v>1886</v>
      </c>
      <c r="C279" t="s">
        <v>1887</v>
      </c>
    </row>
    <row r="280" spans="1:4">
      <c r="A280" t="str">
        <f t="shared" si="4"/>
        <v>AIL522-CORDOVA INLAND</v>
      </c>
      <c r="B280" t="s">
        <v>1017</v>
      </c>
      <c r="C280" t="s">
        <v>1888</v>
      </c>
      <c r="D280" t="s">
        <v>2076</v>
      </c>
    </row>
    <row r="281" spans="1:4">
      <c r="A281" t="str">
        <f t="shared" si="4"/>
        <v>AMN004-POOL HILL</v>
      </c>
      <c r="B281" t="s">
        <v>741</v>
      </c>
      <c r="C281" t="s">
        <v>2081</v>
      </c>
    </row>
    <row r="282" spans="1:4">
      <c r="A282" t="str">
        <f t="shared" si="4"/>
        <v>AMN006-OTTERNESS</v>
      </c>
      <c r="B282" t="s">
        <v>742</v>
      </c>
      <c r="C282" t="s">
        <v>743</v>
      </c>
    </row>
    <row r="283" spans="1:4">
      <c r="A283" t="str">
        <f t="shared" si="4"/>
        <v>AMN008-NEW ULM QTZ</v>
      </c>
      <c r="B283" t="s">
        <v>744</v>
      </c>
      <c r="C283" t="s">
        <v>2140</v>
      </c>
    </row>
    <row r="284" spans="1:4">
      <c r="A284" t="str">
        <f t="shared" si="4"/>
        <v>AMN010-ST CLOUD-GRANITE</v>
      </c>
      <c r="B284" t="s">
        <v>745</v>
      </c>
      <c r="C284" t="s">
        <v>746</v>
      </c>
    </row>
    <row r="285" spans="1:4">
      <c r="A285" t="str">
        <f t="shared" si="4"/>
        <v>AMN024-YELLOW MEDICINE</v>
      </c>
      <c r="B285" t="s">
        <v>2082</v>
      </c>
      <c r="C285" t="s">
        <v>2083</v>
      </c>
    </row>
    <row r="286" spans="1:4">
      <c r="A286" t="str">
        <f t="shared" si="4"/>
        <v>AMN026-BIG STONE</v>
      </c>
      <c r="B286" t="s">
        <v>747</v>
      </c>
      <c r="C286" t="s">
        <v>748</v>
      </c>
    </row>
    <row r="287" spans="1:4">
      <c r="A287" t="str">
        <f t="shared" si="4"/>
        <v>AMN030-GENGLER</v>
      </c>
      <c r="B287" t="s">
        <v>749</v>
      </c>
      <c r="C287" t="s">
        <v>750</v>
      </c>
      <c r="D287" t="s">
        <v>2076</v>
      </c>
    </row>
    <row r="288" spans="1:4">
      <c r="A288" t="str">
        <f t="shared" si="4"/>
        <v>AMN032-COTTONWOOD</v>
      </c>
      <c r="B288" t="s">
        <v>751</v>
      </c>
      <c r="C288" t="s">
        <v>752</v>
      </c>
    </row>
    <row r="289" spans="1:3">
      <c r="A289" t="str">
        <f t="shared" si="4"/>
        <v>AMN034-ENGRAV</v>
      </c>
      <c r="B289" t="s">
        <v>753</v>
      </c>
      <c r="C289" t="s">
        <v>754</v>
      </c>
    </row>
    <row r="290" spans="1:3">
      <c r="A290" t="str">
        <f t="shared" si="4"/>
        <v>AMN042-SCOTT</v>
      </c>
      <c r="B290" t="s">
        <v>1889</v>
      </c>
      <c r="C290" t="s">
        <v>2084</v>
      </c>
    </row>
    <row r="291" spans="1:3">
      <c r="A291" t="str">
        <f t="shared" si="4"/>
        <v>AMN044-BIESANZ</v>
      </c>
      <c r="B291" t="s">
        <v>755</v>
      </c>
      <c r="C291" t="s">
        <v>756</v>
      </c>
    </row>
    <row r="292" spans="1:3">
      <c r="A292" t="str">
        <f t="shared" si="4"/>
        <v>AMN046-43 QUARRY</v>
      </c>
      <c r="B292" t="s">
        <v>757</v>
      </c>
      <c r="C292" t="s">
        <v>758</v>
      </c>
    </row>
    <row r="293" spans="1:3">
      <c r="A293" t="str">
        <f>CONCATENATE(B293,"-",C293)</f>
        <v>AMN052-ABNET</v>
      </c>
      <c r="B293" t="s">
        <v>759</v>
      </c>
      <c r="C293" t="s">
        <v>760</v>
      </c>
    </row>
    <row r="294" spans="1:3">
      <c r="A294" t="str">
        <f>CONCATENATE(B294,"-",C294)</f>
        <v>AMN054-HOOGLAND</v>
      </c>
      <c r="B294" t="s">
        <v>1890</v>
      </c>
      <c r="C294" t="s">
        <v>2141</v>
      </c>
    </row>
    <row r="295" spans="1:3">
      <c r="A295" t="str">
        <f>CONCATENATE(B295,"-",C295)</f>
        <v>AMN055-ELG</v>
      </c>
      <c r="B295" t="s">
        <v>2142</v>
      </c>
      <c r="C295" t="s">
        <v>2143</v>
      </c>
    </row>
    <row r="296" spans="1:3">
      <c r="A296" t="str">
        <f>CONCATENATE(B296,"-",C296)</f>
        <v>AMN522-PRAIRIE ISLAND</v>
      </c>
      <c r="B296" t="s">
        <v>761</v>
      </c>
      <c r="C296" t="s">
        <v>2144</v>
      </c>
    </row>
    <row r="297" spans="1:3">
      <c r="A297" t="str">
        <f t="shared" si="4"/>
        <v>AMN528-POPE</v>
      </c>
      <c r="B297" t="s">
        <v>1891</v>
      </c>
      <c r="C297" t="s">
        <v>1892</v>
      </c>
    </row>
    <row r="298" spans="1:3">
      <c r="A298" t="str">
        <f t="shared" si="4"/>
        <v>AMN536-ELK RIVER</v>
      </c>
      <c r="B298" t="s">
        <v>763</v>
      </c>
      <c r="C298" t="s">
        <v>764</v>
      </c>
    </row>
    <row r="299" spans="1:3">
      <c r="A299" t="str">
        <f t="shared" si="4"/>
        <v>AMN544-LAKEVILLE</v>
      </c>
      <c r="B299" t="s">
        <v>765</v>
      </c>
      <c r="C299" t="s">
        <v>766</v>
      </c>
    </row>
    <row r="300" spans="1:3">
      <c r="A300" t="str">
        <f>CONCATENATE(B300,"-",C300)</f>
        <v>AMN550-SACHS</v>
      </c>
      <c r="B300" t="s">
        <v>767</v>
      </c>
      <c r="C300" t="s">
        <v>768</v>
      </c>
    </row>
    <row r="301" spans="1:3">
      <c r="A301" t="str">
        <f t="shared" si="4"/>
        <v>AMN558-ST CROIX</v>
      </c>
      <c r="B301" t="s">
        <v>769</v>
      </c>
      <c r="C301" t="s">
        <v>770</v>
      </c>
    </row>
    <row r="302" spans="1:3">
      <c r="A302" t="str">
        <f t="shared" si="4"/>
        <v>AMN560-ROSEMONT</v>
      </c>
      <c r="B302" t="s">
        <v>771</v>
      </c>
      <c r="C302" t="s">
        <v>2145</v>
      </c>
    </row>
    <row r="303" spans="1:3">
      <c r="A303" t="str">
        <f t="shared" si="4"/>
        <v>AMN564-HASTINGS</v>
      </c>
      <c r="B303" t="s">
        <v>2146</v>
      </c>
      <c r="C303" t="s">
        <v>2147</v>
      </c>
    </row>
    <row r="304" spans="1:3">
      <c r="A304" t="str">
        <f t="shared" si="4"/>
        <v>AMN566-ELK RIVER</v>
      </c>
      <c r="B304" t="s">
        <v>773</v>
      </c>
      <c r="C304" t="s">
        <v>764</v>
      </c>
    </row>
    <row r="305" spans="1:4">
      <c r="A305" t="str">
        <f t="shared" si="4"/>
        <v>AMN568-EMPIRE</v>
      </c>
      <c r="B305" t="s">
        <v>774</v>
      </c>
      <c r="C305" t="s">
        <v>775</v>
      </c>
    </row>
    <row r="306" spans="1:4">
      <c r="A306" t="str">
        <f t="shared" si="4"/>
        <v>AMN570-WINONA AGGREGATE</v>
      </c>
      <c r="B306" t="s">
        <v>776</v>
      </c>
      <c r="C306" t="s">
        <v>777</v>
      </c>
    </row>
    <row r="307" spans="1:4">
      <c r="A307" t="str">
        <f t="shared" si="4"/>
        <v>AMN576-TILSTRA</v>
      </c>
      <c r="B307" t="s">
        <v>1893</v>
      </c>
      <c r="C307" t="s">
        <v>1894</v>
      </c>
    </row>
    <row r="308" spans="1:4">
      <c r="A308" t="str">
        <f t="shared" si="4"/>
        <v>AMO002-KAHOKA</v>
      </c>
      <c r="B308" t="s">
        <v>778</v>
      </c>
      <c r="C308" t="s">
        <v>779</v>
      </c>
    </row>
    <row r="309" spans="1:4">
      <c r="A309" t="str">
        <f t="shared" si="4"/>
        <v>AMO022-IRON MT</v>
      </c>
      <c r="B309" t="s">
        <v>780</v>
      </c>
      <c r="C309" t="s">
        <v>781</v>
      </c>
    </row>
    <row r="310" spans="1:4">
      <c r="A310" t="str">
        <f t="shared" si="4"/>
        <v>AMO024-HUNTINGTON</v>
      </c>
      <c r="B310" t="s">
        <v>782</v>
      </c>
      <c r="C310" t="s">
        <v>783</v>
      </c>
    </row>
    <row r="311" spans="1:4">
      <c r="A311" t="str">
        <f t="shared" si="4"/>
        <v>AMO058-PIT#3</v>
      </c>
      <c r="B311" t="s">
        <v>1895</v>
      </c>
      <c r="C311" t="s">
        <v>1896</v>
      </c>
    </row>
    <row r="312" spans="1:4">
      <c r="A312" t="str">
        <f t="shared" si="4"/>
        <v>AMO060-RANDOLPH MINE</v>
      </c>
      <c r="B312" t="s">
        <v>784</v>
      </c>
      <c r="C312" t="s">
        <v>785</v>
      </c>
    </row>
    <row r="313" spans="1:4">
      <c r="A313" t="str">
        <f t="shared" si="4"/>
        <v>ANE002-WEEPING WATER MINE</v>
      </c>
      <c r="B313" t="s">
        <v>786</v>
      </c>
      <c r="C313" t="s">
        <v>787</v>
      </c>
      <c r="D313" t="s">
        <v>2076</v>
      </c>
    </row>
    <row r="314" spans="1:4">
      <c r="A314" t="str">
        <f t="shared" si="4"/>
        <v>ANE010-FT CALHOUN</v>
      </c>
      <c r="B314" t="s">
        <v>788</v>
      </c>
      <c r="C314" t="s">
        <v>789</v>
      </c>
      <c r="D314" t="s">
        <v>2076</v>
      </c>
    </row>
    <row r="315" spans="1:4">
      <c r="A315" t="str">
        <f t="shared" si="4"/>
        <v>ANE504-WATERLOO #40</v>
      </c>
      <c r="B315" t="s">
        <v>790</v>
      </c>
      <c r="C315" t="s">
        <v>791</v>
      </c>
    </row>
    <row r="316" spans="1:4">
      <c r="A316" t="str">
        <f t="shared" si="4"/>
        <v>ANE544-VALLEY</v>
      </c>
      <c r="B316" t="s">
        <v>792</v>
      </c>
      <c r="C316" t="s">
        <v>793</v>
      </c>
    </row>
    <row r="317" spans="1:4">
      <c r="A317" t="str">
        <f t="shared" si="4"/>
        <v>ANE548-WEST CENTER SAND</v>
      </c>
      <c r="B317" t="s">
        <v>794</v>
      </c>
      <c r="C317" t="s">
        <v>1595</v>
      </c>
    </row>
    <row r="318" spans="1:4">
      <c r="A318" t="str">
        <f t="shared" si="4"/>
        <v>ANE552 -WATERLOO SAND</v>
      </c>
      <c r="B318" t="s">
        <v>1897</v>
      </c>
      <c r="C318" t="s">
        <v>823</v>
      </c>
    </row>
    <row r="319" spans="1:4">
      <c r="A319" t="str">
        <f t="shared" si="4"/>
        <v>ANE560-PLANT #45</v>
      </c>
      <c r="B319" t="s">
        <v>795</v>
      </c>
      <c r="C319" t="s">
        <v>2148</v>
      </c>
    </row>
    <row r="320" spans="1:4">
      <c r="A320" t="str">
        <f t="shared" si="4"/>
        <v>ANE564-NORTH VALLEY SAND</v>
      </c>
      <c r="B320" t="s">
        <v>796</v>
      </c>
      <c r="C320" t="s">
        <v>1596</v>
      </c>
    </row>
    <row r="321" spans="1:4">
      <c r="A321" t="str">
        <f t="shared" si="4"/>
        <v>ANE566-PLANT #52</v>
      </c>
      <c r="B321" t="s">
        <v>797</v>
      </c>
      <c r="C321" t="s">
        <v>798</v>
      </c>
    </row>
    <row r="322" spans="1:4">
      <c r="A322" t="str">
        <f t="shared" si="4"/>
        <v>ASD002-DELL RAPIDS</v>
      </c>
      <c r="B322" t="s">
        <v>799</v>
      </c>
      <c r="C322" t="s">
        <v>1764</v>
      </c>
      <c r="D322" t="s">
        <v>2076</v>
      </c>
    </row>
    <row r="323" spans="1:4">
      <c r="A323" t="str">
        <f t="shared" si="4"/>
        <v>ASD004-SIOUX FALLS QUARTZITE</v>
      </c>
      <c r="B323" t="s">
        <v>800</v>
      </c>
      <c r="C323" t="s">
        <v>801</v>
      </c>
      <c r="D323" t="s">
        <v>2076</v>
      </c>
    </row>
    <row r="324" spans="1:4">
      <c r="A324" t="str">
        <f t="shared" si="4"/>
        <v>ASD006-EAST SIOUX</v>
      </c>
      <c r="B324" t="s">
        <v>802</v>
      </c>
      <c r="C324" t="s">
        <v>803</v>
      </c>
    </row>
    <row r="325" spans="1:4">
      <c r="A325" t="str">
        <f t="shared" ref="A325:A338" si="5">CONCATENATE(B325,"-",C325)</f>
        <v>ASD008-SPENCER</v>
      </c>
      <c r="B325" t="s">
        <v>2022</v>
      </c>
      <c r="C325" t="s">
        <v>2023</v>
      </c>
      <c r="D325" t="s">
        <v>2076</v>
      </c>
    </row>
    <row r="326" spans="1:4">
      <c r="A326" t="str">
        <f t="shared" si="5"/>
        <v>ASD502-BOYER</v>
      </c>
      <c r="B326" t="s">
        <v>2149</v>
      </c>
      <c r="C326" t="s">
        <v>2150</v>
      </c>
    </row>
    <row r="327" spans="1:4">
      <c r="A327" t="str">
        <f>CONCATENATE(B327,"-",C327)</f>
        <v>ASD526-CORSON</v>
      </c>
      <c r="B327" t="s">
        <v>804</v>
      </c>
      <c r="C327" t="s">
        <v>805</v>
      </c>
    </row>
    <row r="328" spans="1:4">
      <c r="A328" t="str">
        <f t="shared" si="5"/>
        <v>AWI022-KINGS BLUFF</v>
      </c>
      <c r="B328" t="s">
        <v>806</v>
      </c>
      <c r="C328" t="s">
        <v>807</v>
      </c>
    </row>
    <row r="329" spans="1:4">
      <c r="A329" t="str">
        <f t="shared" si="5"/>
        <v>AWI030-HAVERLAND</v>
      </c>
      <c r="B329" t="s">
        <v>808</v>
      </c>
      <c r="C329" t="s">
        <v>809</v>
      </c>
    </row>
    <row r="330" spans="1:4">
      <c r="A330" t="str">
        <f t="shared" si="5"/>
        <v>AWI038-ATHENS</v>
      </c>
      <c r="B330" t="s">
        <v>1898</v>
      </c>
      <c r="C330" t="s">
        <v>2085</v>
      </c>
    </row>
    <row r="331" spans="1:4">
      <c r="A331" t="str">
        <f t="shared" si="5"/>
        <v>AWI044-SLAMA</v>
      </c>
      <c r="B331" t="s">
        <v>810</v>
      </c>
      <c r="C331" t="s">
        <v>811</v>
      </c>
    </row>
    <row r="332" spans="1:4">
      <c r="A332" t="str">
        <f t="shared" si="5"/>
        <v>AWI046-HAHN</v>
      </c>
      <c r="B332" t="s">
        <v>812</v>
      </c>
      <c r="C332" t="s">
        <v>813</v>
      </c>
    </row>
    <row r="333" spans="1:4">
      <c r="A333" t="str">
        <f t="shared" si="5"/>
        <v>AWI502-PRAIRIE DU CHIEN</v>
      </c>
      <c r="B333" t="s">
        <v>814</v>
      </c>
      <c r="C333" t="s">
        <v>815</v>
      </c>
    </row>
    <row r="334" spans="1:4">
      <c r="A334" t="str">
        <f t="shared" si="5"/>
        <v>AWI504-VOGT</v>
      </c>
      <c r="B334" t="s">
        <v>816</v>
      </c>
      <c r="C334" t="s">
        <v>2021</v>
      </c>
    </row>
    <row r="335" spans="1:4">
      <c r="A335" t="str">
        <f t="shared" si="5"/>
        <v>AWI514-HAGER CITY</v>
      </c>
      <c r="B335" t="s">
        <v>817</v>
      </c>
      <c r="C335" t="s">
        <v>818</v>
      </c>
    </row>
    <row r="336" spans="1:4">
      <c r="A336" t="str">
        <f t="shared" si="5"/>
        <v>AWI524-HAEF</v>
      </c>
      <c r="B336" t="s">
        <v>819</v>
      </c>
      <c r="C336" t="s">
        <v>820</v>
      </c>
    </row>
    <row r="337" spans="1:3">
      <c r="A337" t="str">
        <f t="shared" si="5"/>
        <v>AWI528-NELSON</v>
      </c>
      <c r="B337" t="s">
        <v>821</v>
      </c>
      <c r="C337" t="s">
        <v>344</v>
      </c>
    </row>
    <row r="338" spans="1:3">
      <c r="A338" t="str">
        <f t="shared" si="5"/>
        <v>AWI532-WOLF</v>
      </c>
      <c r="B338" t="s">
        <v>2151</v>
      </c>
      <c r="C338" t="s">
        <v>2152</v>
      </c>
    </row>
  </sheetData>
  <sheetProtection algorithmName="SHA-512" hashValue="hyhKEJjlTiGPdGjUPbHym2I/uNqc2c2ObmhRwWB2944QukfoS6J3Xyz3FeAR/xOlTqs/t4KLzDPaTQbalHpW1w==" saltValue="PLw0+DEi0+JJ/rqSIHnmWg==" spinCount="100000" sheet="1" objects="1" scenarios="1"/>
  <mergeCells count="1">
    <mergeCell ref="A1:D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2D3EC-7843-40A9-96D3-BE0BB9DAC8F8}">
  <sheetPr codeName="Sheet15"/>
  <dimension ref="A1:D284"/>
  <sheetViews>
    <sheetView workbookViewId="0">
      <selection sqref="A1:D283"/>
    </sheetView>
  </sheetViews>
  <sheetFormatPr defaultRowHeight="15"/>
  <cols>
    <col min="1" max="1" width="28.5546875" bestFit="1" customWidth="1"/>
  </cols>
  <sheetData>
    <row r="1" spans="1:4" ht="15" customHeight="1">
      <c r="A1" s="719" t="s">
        <v>1597</v>
      </c>
      <c r="B1" s="719"/>
      <c r="C1" s="719"/>
      <c r="D1" s="719"/>
    </row>
    <row r="2" spans="1:4" ht="15" customHeight="1">
      <c r="A2" s="719"/>
      <c r="B2" s="719"/>
      <c r="C2" s="719"/>
      <c r="D2" s="719"/>
    </row>
    <row r="4" spans="1:4">
      <c r="A4" t="str">
        <f t="shared" ref="A4:A67" si="0">CONCATENATE(B4,"-",C4)</f>
        <v>A03502-HARPERS FERRY</v>
      </c>
      <c r="B4" t="s">
        <v>275</v>
      </c>
      <c r="C4" t="s">
        <v>276</v>
      </c>
    </row>
    <row r="5" spans="1:4">
      <c r="A5" t="str">
        <f t="shared" si="0"/>
        <v>A03506-HAMMEL-BOONIES</v>
      </c>
      <c r="B5" t="s">
        <v>2153</v>
      </c>
      <c r="C5" t="s">
        <v>1952</v>
      </c>
    </row>
    <row r="6" spans="1:4">
      <c r="A6" t="str">
        <f t="shared" si="0"/>
        <v>A03520-IVERSON 2</v>
      </c>
      <c r="B6" t="s">
        <v>1899</v>
      </c>
      <c r="C6" t="s">
        <v>1900</v>
      </c>
    </row>
    <row r="7" spans="1:4">
      <c r="A7" t="str">
        <f t="shared" si="0"/>
        <v>A05506-EXIRA</v>
      </c>
      <c r="B7" t="s">
        <v>278</v>
      </c>
      <c r="C7" t="s">
        <v>279</v>
      </c>
    </row>
    <row r="8" spans="1:4">
      <c r="A8" t="str">
        <f t="shared" si="0"/>
        <v>A06504-COOTS SAND/VINTON</v>
      </c>
      <c r="B8" t="s">
        <v>1937</v>
      </c>
      <c r="C8" t="s">
        <v>1938</v>
      </c>
    </row>
    <row r="9" spans="1:4">
      <c r="A9" t="str">
        <f t="shared" si="0"/>
        <v>A07504-WATERLOO SAND</v>
      </c>
      <c r="B9" t="s">
        <v>822</v>
      </c>
      <c r="C9" t="s">
        <v>823</v>
      </c>
    </row>
    <row r="10" spans="1:4">
      <c r="A10" t="str">
        <f t="shared" si="0"/>
        <v>A07506-ASPRO</v>
      </c>
      <c r="B10" t="s">
        <v>824</v>
      </c>
      <c r="C10" t="s">
        <v>825</v>
      </c>
    </row>
    <row r="11" spans="1:4">
      <c r="A11" t="str">
        <f t="shared" si="0"/>
        <v>A07508-GILBERTVILLE</v>
      </c>
      <c r="B11" t="s">
        <v>292</v>
      </c>
      <c r="C11" t="s">
        <v>293</v>
      </c>
    </row>
    <row r="12" spans="1:4">
      <c r="A12" t="str">
        <f t="shared" si="0"/>
        <v>A07512-ZEIEN S&amp;G</v>
      </c>
      <c r="B12" t="s">
        <v>826</v>
      </c>
      <c r="C12" t="s">
        <v>827</v>
      </c>
    </row>
    <row r="13" spans="1:4">
      <c r="A13" t="str">
        <f t="shared" si="0"/>
        <v>A07518-JANESVILLE</v>
      </c>
      <c r="B13" t="s">
        <v>828</v>
      </c>
      <c r="C13" t="s">
        <v>829</v>
      </c>
    </row>
    <row r="14" spans="1:4">
      <c r="A14" t="str">
        <f t="shared" si="0"/>
        <v>A07520-BENTON'S LAKE</v>
      </c>
      <c r="B14" t="s">
        <v>2008</v>
      </c>
      <c r="C14" t="s">
        <v>2009</v>
      </c>
    </row>
    <row r="15" spans="1:4">
      <c r="A15" t="str">
        <f t="shared" si="0"/>
        <v>A09510-PLAINFIELD/ADAMS</v>
      </c>
      <c r="B15" t="s">
        <v>830</v>
      </c>
      <c r="C15" t="s">
        <v>831</v>
      </c>
    </row>
    <row r="16" spans="1:4">
      <c r="A16" t="str">
        <f t="shared" si="0"/>
        <v>A09512-BOEVERS</v>
      </c>
      <c r="B16" t="s">
        <v>832</v>
      </c>
      <c r="C16" t="s">
        <v>833</v>
      </c>
    </row>
    <row r="17" spans="1:3">
      <c r="A17" t="str">
        <f t="shared" si="0"/>
        <v>A10516-MILLER</v>
      </c>
      <c r="B17" t="s">
        <v>834</v>
      </c>
      <c r="C17" t="s">
        <v>317</v>
      </c>
    </row>
    <row r="18" spans="1:3">
      <c r="A18" t="str">
        <f t="shared" si="0"/>
        <v>A10520-BROOKS</v>
      </c>
      <c r="B18" t="s">
        <v>835</v>
      </c>
      <c r="C18" t="s">
        <v>305</v>
      </c>
    </row>
    <row r="19" spans="1:3">
      <c r="A19" t="str">
        <f t="shared" si="0"/>
        <v>A10522-NIEMANN-DECKER</v>
      </c>
      <c r="B19" t="s">
        <v>836</v>
      </c>
      <c r="C19" t="s">
        <v>837</v>
      </c>
    </row>
    <row r="20" spans="1:3">
      <c r="A20" t="str">
        <f t="shared" si="0"/>
        <v>A10524-CRAWFORD</v>
      </c>
      <c r="B20" t="s">
        <v>838</v>
      </c>
      <c r="C20" t="s">
        <v>839</v>
      </c>
    </row>
    <row r="21" spans="1:3">
      <c r="A21" t="str">
        <f t="shared" si="0"/>
        <v>A12502-CLARKSVILLE</v>
      </c>
      <c r="B21" t="s">
        <v>308</v>
      </c>
      <c r="C21" t="s">
        <v>309</v>
      </c>
    </row>
    <row r="22" spans="1:3">
      <c r="A22" t="str">
        <f t="shared" si="0"/>
        <v>A12516-JENSEN</v>
      </c>
      <c r="B22" t="s">
        <v>2154</v>
      </c>
      <c r="C22" t="s">
        <v>463</v>
      </c>
    </row>
    <row r="23" spans="1:3">
      <c r="A23" t="str">
        <f t="shared" si="0"/>
        <v>A12518-SHELL ROCK-ADAMS</v>
      </c>
      <c r="B23" t="s">
        <v>840</v>
      </c>
      <c r="C23" t="s">
        <v>841</v>
      </c>
    </row>
    <row r="24" spans="1:3">
      <c r="A24" t="str">
        <f t="shared" si="0"/>
        <v>A12520-PARKERSBURG</v>
      </c>
      <c r="B24" t="s">
        <v>842</v>
      </c>
      <c r="C24" t="s">
        <v>843</v>
      </c>
    </row>
    <row r="25" spans="1:3">
      <c r="A25" t="str">
        <f t="shared" si="0"/>
        <v>A12522-HOBSON</v>
      </c>
      <c r="B25" t="s">
        <v>844</v>
      </c>
      <c r="C25" t="s">
        <v>845</v>
      </c>
    </row>
    <row r="26" spans="1:3">
      <c r="A26" t="str">
        <f t="shared" si="0"/>
        <v>A13504-JENSEN</v>
      </c>
      <c r="B26" t="s">
        <v>847</v>
      </c>
      <c r="C26" t="s">
        <v>463</v>
      </c>
    </row>
    <row r="27" spans="1:3">
      <c r="A27" t="str">
        <f t="shared" si="0"/>
        <v>A13506-MOHR</v>
      </c>
      <c r="B27" t="s">
        <v>848</v>
      </c>
      <c r="C27" t="s">
        <v>849</v>
      </c>
    </row>
    <row r="28" spans="1:3">
      <c r="A28" t="str">
        <f t="shared" si="0"/>
        <v>A14504-REINHART</v>
      </c>
      <c r="B28" t="s">
        <v>310</v>
      </c>
      <c r="C28" t="s">
        <v>311</v>
      </c>
    </row>
    <row r="29" spans="1:3">
      <c r="A29" t="str">
        <f t="shared" si="0"/>
        <v>A14510-LANESBORO</v>
      </c>
      <c r="B29" t="s">
        <v>312</v>
      </c>
      <c r="C29" t="s">
        <v>313</v>
      </c>
    </row>
    <row r="30" spans="1:3">
      <c r="A30" t="str">
        <f t="shared" si="0"/>
        <v>A14514-MACKE</v>
      </c>
      <c r="B30" t="s">
        <v>314</v>
      </c>
      <c r="C30" t="s">
        <v>315</v>
      </c>
    </row>
    <row r="31" spans="1:3">
      <c r="A31" t="str">
        <f t="shared" si="0"/>
        <v>A14518-MILLER</v>
      </c>
      <c r="B31" t="s">
        <v>316</v>
      </c>
      <c r="C31" t="s">
        <v>317</v>
      </c>
    </row>
    <row r="32" spans="1:3">
      <c r="A32" t="str">
        <f t="shared" si="0"/>
        <v>A16502-SHARPLISS</v>
      </c>
      <c r="B32" t="s">
        <v>850</v>
      </c>
      <c r="C32" t="s">
        <v>851</v>
      </c>
    </row>
    <row r="33" spans="1:3">
      <c r="A33" t="str">
        <f t="shared" si="0"/>
        <v>A16506-ONION GROVE</v>
      </c>
      <c r="B33" t="s">
        <v>852</v>
      </c>
      <c r="C33" t="s">
        <v>324</v>
      </c>
    </row>
    <row r="34" spans="1:3">
      <c r="A34" t="str">
        <f t="shared" si="0"/>
        <v>A16510-CEDAR BLUFF</v>
      </c>
      <c r="B34" t="s">
        <v>853</v>
      </c>
      <c r="C34" t="s">
        <v>854</v>
      </c>
    </row>
    <row r="35" spans="1:3">
      <c r="A35" t="str">
        <f t="shared" si="0"/>
        <v>A17514-HOLCIM SAND</v>
      </c>
      <c r="B35" t="s">
        <v>333</v>
      </c>
      <c r="C35" t="s">
        <v>334</v>
      </c>
    </row>
    <row r="36" spans="1:3">
      <c r="A36" t="str">
        <f t="shared" si="0"/>
        <v>A17520-TUTTLE</v>
      </c>
      <c r="B36" t="s">
        <v>855</v>
      </c>
      <c r="C36" t="s">
        <v>856</v>
      </c>
    </row>
    <row r="37" spans="1:3">
      <c r="A37" t="str">
        <f t="shared" si="0"/>
        <v>A17522-GRAF PIT</v>
      </c>
      <c r="B37" t="s">
        <v>2086</v>
      </c>
      <c r="C37" t="s">
        <v>2087</v>
      </c>
    </row>
    <row r="38" spans="1:3">
      <c r="A38" t="str">
        <f t="shared" si="0"/>
        <v>A18506-CHEROKEE SOUTH</v>
      </c>
      <c r="B38" t="s">
        <v>335</v>
      </c>
      <c r="C38" t="s">
        <v>336</v>
      </c>
    </row>
    <row r="39" spans="1:3">
      <c r="A39" t="str">
        <f t="shared" si="0"/>
        <v>A18514-LARRABEE-MONTGOMERY</v>
      </c>
      <c r="B39" t="s">
        <v>337</v>
      </c>
      <c r="C39" t="s">
        <v>338</v>
      </c>
    </row>
    <row r="40" spans="1:3">
      <c r="A40" t="str">
        <f t="shared" si="0"/>
        <v>A18526-CHEROKEE NORTH</v>
      </c>
      <c r="B40" t="s">
        <v>339</v>
      </c>
      <c r="C40" t="s">
        <v>340</v>
      </c>
    </row>
    <row r="41" spans="1:3">
      <c r="A41" t="str">
        <f t="shared" si="0"/>
        <v>A18528-WASHTA</v>
      </c>
      <c r="B41" t="s">
        <v>341</v>
      </c>
      <c r="C41" t="s">
        <v>342</v>
      </c>
    </row>
    <row r="42" spans="1:3">
      <c r="A42" t="str">
        <f t="shared" si="0"/>
        <v>A18534-NELSON</v>
      </c>
      <c r="B42" t="s">
        <v>343</v>
      </c>
      <c r="C42" t="s">
        <v>344</v>
      </c>
    </row>
    <row r="43" spans="1:3">
      <c r="A43" t="str">
        <f t="shared" si="0"/>
        <v>A19508-BUSTA</v>
      </c>
      <c r="B43" t="s">
        <v>857</v>
      </c>
      <c r="C43" t="s">
        <v>706</v>
      </c>
    </row>
    <row r="44" spans="1:3">
      <c r="A44" t="str">
        <f t="shared" si="0"/>
        <v>A19512-PEARL ROCK</v>
      </c>
      <c r="B44" t="s">
        <v>858</v>
      </c>
      <c r="C44" t="s">
        <v>859</v>
      </c>
    </row>
    <row r="45" spans="1:3">
      <c r="A45" t="str">
        <f t="shared" si="0"/>
        <v>A19514-NASHUA</v>
      </c>
      <c r="B45" t="s">
        <v>860</v>
      </c>
      <c r="C45" t="s">
        <v>861</v>
      </c>
    </row>
    <row r="46" spans="1:3">
      <c r="A46" t="str">
        <f t="shared" si="0"/>
        <v>A19516-REWOLDT</v>
      </c>
      <c r="B46" t="s">
        <v>862</v>
      </c>
      <c r="C46" t="s">
        <v>863</v>
      </c>
    </row>
    <row r="47" spans="1:3">
      <c r="A47" t="str">
        <f t="shared" si="0"/>
        <v>A19522-BUCKY'S</v>
      </c>
      <c r="B47" t="s">
        <v>345</v>
      </c>
      <c r="C47" t="s">
        <v>346</v>
      </c>
    </row>
    <row r="48" spans="1:3">
      <c r="A48" t="str">
        <f t="shared" si="0"/>
        <v>A21506-EVERLY</v>
      </c>
      <c r="B48" t="s">
        <v>347</v>
      </c>
      <c r="C48" t="s">
        <v>348</v>
      </c>
    </row>
    <row r="49" spans="1:3">
      <c r="A49" t="str">
        <f t="shared" si="0"/>
        <v>A21516-SPENCER #1</v>
      </c>
      <c r="B49" t="s">
        <v>349</v>
      </c>
      <c r="C49" t="s">
        <v>350</v>
      </c>
    </row>
    <row r="50" spans="1:3">
      <c r="A50" t="str">
        <f t="shared" si="0"/>
        <v>A21538-NORGAARD SAND &amp; GRAVEL</v>
      </c>
      <c r="B50" t="s">
        <v>1598</v>
      </c>
      <c r="C50" t="s">
        <v>1599</v>
      </c>
    </row>
    <row r="51" spans="1:3">
      <c r="A51" t="str">
        <f t="shared" si="0"/>
        <v>A21540-DELOSS</v>
      </c>
      <c r="B51" t="s">
        <v>2155</v>
      </c>
      <c r="C51" t="s">
        <v>2156</v>
      </c>
    </row>
    <row r="52" spans="1:3">
      <c r="A52" t="str">
        <f t="shared" si="0"/>
        <v>A22510-BENTE</v>
      </c>
      <c r="B52" t="s">
        <v>864</v>
      </c>
      <c r="C52" t="s">
        <v>865</v>
      </c>
    </row>
    <row r="53" spans="1:3">
      <c r="A53" t="str">
        <f t="shared" si="0"/>
        <v>A22520-WELTERLEN</v>
      </c>
      <c r="B53" t="s">
        <v>866</v>
      </c>
      <c r="C53" t="s">
        <v>867</v>
      </c>
    </row>
    <row r="54" spans="1:3">
      <c r="A54" t="str">
        <f t="shared" si="0"/>
        <v>A22522-MOYNA</v>
      </c>
      <c r="B54" t="s">
        <v>868</v>
      </c>
      <c r="C54" t="s">
        <v>374</v>
      </c>
    </row>
    <row r="55" spans="1:3">
      <c r="A55" t="str">
        <f t="shared" si="0"/>
        <v>A23506-SCHNECKLOTH</v>
      </c>
      <c r="B55" t="s">
        <v>869</v>
      </c>
      <c r="C55" t="s">
        <v>870</v>
      </c>
    </row>
    <row r="56" spans="1:3">
      <c r="A56" t="str">
        <f t="shared" si="0"/>
        <v>A23514-ANDERSON</v>
      </c>
      <c r="B56" t="s">
        <v>871</v>
      </c>
      <c r="C56" t="s">
        <v>384</v>
      </c>
    </row>
    <row r="57" spans="1:3">
      <c r="A57" t="str">
        <f t="shared" si="0"/>
        <v>A23516-OLSON</v>
      </c>
      <c r="B57" t="s">
        <v>872</v>
      </c>
      <c r="C57" t="s">
        <v>873</v>
      </c>
    </row>
    <row r="58" spans="1:3">
      <c r="A58" t="str">
        <f t="shared" si="0"/>
        <v>A23518-HERKSEN</v>
      </c>
      <c r="B58" t="s">
        <v>2157</v>
      </c>
      <c r="C58" t="s">
        <v>2158</v>
      </c>
    </row>
    <row r="59" spans="1:3">
      <c r="A59" t="str">
        <f t="shared" si="0"/>
        <v>A24512-DUNLAP</v>
      </c>
      <c r="B59" t="s">
        <v>385</v>
      </c>
      <c r="C59" t="s">
        <v>386</v>
      </c>
    </row>
    <row r="60" spans="1:3">
      <c r="A60" t="str">
        <f t="shared" si="0"/>
        <v>A25510-PERRY</v>
      </c>
      <c r="B60" t="s">
        <v>387</v>
      </c>
      <c r="C60" t="s">
        <v>388</v>
      </c>
    </row>
    <row r="61" spans="1:3">
      <c r="A61" t="str">
        <f t="shared" si="0"/>
        <v>A25514-BOONEVILLE</v>
      </c>
      <c r="B61" t="s">
        <v>389</v>
      </c>
      <c r="C61" t="s">
        <v>390</v>
      </c>
    </row>
    <row r="62" spans="1:3">
      <c r="A62" t="str">
        <f t="shared" si="0"/>
        <v>A25516-VAN METER SOUTH</v>
      </c>
      <c r="B62" t="s">
        <v>391</v>
      </c>
      <c r="C62" t="s">
        <v>392</v>
      </c>
    </row>
    <row r="63" spans="1:3">
      <c r="A63" t="str">
        <f t="shared" si="0"/>
        <v>A25518-RACCOON RIVER SAND</v>
      </c>
      <c r="B63" t="s">
        <v>393</v>
      </c>
      <c r="C63" t="s">
        <v>394</v>
      </c>
    </row>
    <row r="64" spans="1:3">
      <c r="A64" t="str">
        <f t="shared" si="0"/>
        <v>A25520-LEGACY MATERIALS</v>
      </c>
      <c r="B64" t="s">
        <v>1766</v>
      </c>
      <c r="C64" t="s">
        <v>1767</v>
      </c>
    </row>
    <row r="65" spans="1:3">
      <c r="A65" t="str">
        <f t="shared" si="0"/>
        <v>A25522-BOONEVILLE WEST</v>
      </c>
      <c r="B65" t="s">
        <v>1876</v>
      </c>
      <c r="C65" t="s">
        <v>1877</v>
      </c>
    </row>
    <row r="66" spans="1:3">
      <c r="A66" t="str">
        <f t="shared" si="0"/>
        <v>A26502-ELDON-FRANKLIN</v>
      </c>
      <c r="B66" t="s">
        <v>874</v>
      </c>
      <c r="C66" t="s">
        <v>875</v>
      </c>
    </row>
    <row r="67" spans="1:3">
      <c r="A67" t="str">
        <f t="shared" si="0"/>
        <v>A28520-MANCHESTER</v>
      </c>
      <c r="B67" t="s">
        <v>876</v>
      </c>
      <c r="C67" t="s">
        <v>412</v>
      </c>
    </row>
    <row r="68" spans="1:3">
      <c r="A68" t="str">
        <f t="shared" ref="A68:A131" si="1">CONCATENATE(B68,"-",C68)</f>
        <v>A28526-HAWK</v>
      </c>
      <c r="B68" t="s">
        <v>1901</v>
      </c>
      <c r="C68" t="s">
        <v>1902</v>
      </c>
    </row>
    <row r="69" spans="1:3">
      <c r="A69" t="str">
        <f t="shared" si="1"/>
        <v>A28528-CAR 6</v>
      </c>
      <c r="B69" t="s">
        <v>1903</v>
      </c>
      <c r="C69" t="s">
        <v>1904</v>
      </c>
    </row>
    <row r="70" spans="1:3">
      <c r="A70" t="str">
        <f t="shared" si="1"/>
        <v>A28530-SUMMERS PIT</v>
      </c>
      <c r="B70" t="s">
        <v>2010</v>
      </c>
      <c r="C70" t="s">
        <v>2011</v>
      </c>
    </row>
    <row r="71" spans="1:3">
      <c r="A71" t="str">
        <f t="shared" si="1"/>
        <v>A29502-SPRING GROVE</v>
      </c>
      <c r="B71" t="s">
        <v>415</v>
      </c>
      <c r="C71" t="s">
        <v>416</v>
      </c>
    </row>
    <row r="72" spans="1:3">
      <c r="A72" t="str">
        <f t="shared" si="1"/>
        <v>A30508-FOSTORIA/LOST</v>
      </c>
      <c r="B72" t="s">
        <v>417</v>
      </c>
      <c r="C72" t="s">
        <v>418</v>
      </c>
    </row>
    <row r="73" spans="1:3">
      <c r="A73" t="str">
        <f t="shared" si="1"/>
        <v>A30510-WEDEKING</v>
      </c>
      <c r="B73" t="s">
        <v>419</v>
      </c>
      <c r="C73" t="s">
        <v>420</v>
      </c>
    </row>
    <row r="74" spans="1:3">
      <c r="A74" t="str">
        <f t="shared" si="1"/>
        <v>A30520-MILFORD/DERNER</v>
      </c>
      <c r="B74" t="s">
        <v>421</v>
      </c>
      <c r="C74" t="s">
        <v>422</v>
      </c>
    </row>
    <row r="75" spans="1:3">
      <c r="A75" t="str">
        <f t="shared" si="1"/>
        <v>A30526-MILL CREEK</v>
      </c>
      <c r="B75" t="s">
        <v>877</v>
      </c>
      <c r="C75" t="s">
        <v>383</v>
      </c>
    </row>
    <row r="76" spans="1:3">
      <c r="A76" t="str">
        <f t="shared" si="1"/>
        <v>A31512-BURKLE</v>
      </c>
      <c r="B76" t="s">
        <v>1939</v>
      </c>
      <c r="C76" t="s">
        <v>1940</v>
      </c>
    </row>
    <row r="77" spans="1:3">
      <c r="A77" t="str">
        <f t="shared" si="1"/>
        <v>A31514-FILLMORE</v>
      </c>
      <c r="B77" t="s">
        <v>878</v>
      </c>
      <c r="C77" t="s">
        <v>455</v>
      </c>
    </row>
    <row r="78" spans="1:3">
      <c r="A78" t="str">
        <f t="shared" si="1"/>
        <v>A31516-CASCADE-LOCHER</v>
      </c>
      <c r="B78" t="s">
        <v>879</v>
      </c>
      <c r="C78" t="s">
        <v>880</v>
      </c>
    </row>
    <row r="79" spans="1:3">
      <c r="A79" t="str">
        <f t="shared" si="1"/>
        <v>A31518-MAIERS</v>
      </c>
      <c r="B79" t="s">
        <v>881</v>
      </c>
      <c r="C79" t="s">
        <v>882</v>
      </c>
    </row>
    <row r="80" spans="1:3">
      <c r="A80" t="str">
        <f t="shared" si="1"/>
        <v>A32502-ESTHERVILLE</v>
      </c>
      <c r="B80" t="s">
        <v>458</v>
      </c>
      <c r="C80" t="s">
        <v>459</v>
      </c>
    </row>
    <row r="81" spans="1:3">
      <c r="A81" t="str">
        <f t="shared" si="1"/>
        <v>A32530-ESTHERVILLE/WHITE</v>
      </c>
      <c r="B81" t="s">
        <v>460</v>
      </c>
      <c r="C81" t="s">
        <v>461</v>
      </c>
    </row>
    <row r="82" spans="1:3">
      <c r="A82" t="str">
        <f t="shared" si="1"/>
        <v>A32538-JENSEN</v>
      </c>
      <c r="B82" t="s">
        <v>462</v>
      </c>
      <c r="C82" t="s">
        <v>463</v>
      </c>
    </row>
    <row r="83" spans="1:3">
      <c r="A83" t="str">
        <f t="shared" si="1"/>
        <v>A32544-ANDERSON</v>
      </c>
      <c r="B83" t="s">
        <v>883</v>
      </c>
      <c r="C83" t="s">
        <v>384</v>
      </c>
    </row>
    <row r="84" spans="1:3">
      <c r="A84" t="str">
        <f t="shared" si="1"/>
        <v>A32548-LILLAND</v>
      </c>
      <c r="B84" t="s">
        <v>464</v>
      </c>
      <c r="C84" t="s">
        <v>465</v>
      </c>
    </row>
    <row r="85" spans="1:3">
      <c r="A85" t="str">
        <f t="shared" si="1"/>
        <v>A33506-ALPHA</v>
      </c>
      <c r="B85" t="s">
        <v>884</v>
      </c>
      <c r="C85" t="s">
        <v>885</v>
      </c>
    </row>
    <row r="86" spans="1:3">
      <c r="A86" t="str">
        <f t="shared" si="1"/>
        <v>A33510-RANDALIA</v>
      </c>
      <c r="B86" t="s">
        <v>886</v>
      </c>
      <c r="C86" t="s">
        <v>887</v>
      </c>
    </row>
    <row r="87" spans="1:3">
      <c r="A87" t="str">
        <f t="shared" si="1"/>
        <v>A33518-BASSETT</v>
      </c>
      <c r="B87" t="s">
        <v>888</v>
      </c>
      <c r="C87" t="s">
        <v>889</v>
      </c>
    </row>
    <row r="88" spans="1:3">
      <c r="A88" t="str">
        <f t="shared" si="1"/>
        <v>A33520-OELWEIN SAND</v>
      </c>
      <c r="B88" t="s">
        <v>890</v>
      </c>
      <c r="C88" t="s">
        <v>891</v>
      </c>
    </row>
    <row r="89" spans="1:3">
      <c r="A89" t="str">
        <f t="shared" si="1"/>
        <v>A33522-PAPE</v>
      </c>
      <c r="B89" t="s">
        <v>892</v>
      </c>
      <c r="C89" t="s">
        <v>471</v>
      </c>
    </row>
    <row r="90" spans="1:3">
      <c r="A90" t="str">
        <f t="shared" si="1"/>
        <v>A33524-ROGERS</v>
      </c>
      <c r="B90" t="s">
        <v>893</v>
      </c>
      <c r="C90" t="s">
        <v>894</v>
      </c>
    </row>
    <row r="91" spans="1:3">
      <c r="A91" t="str">
        <f t="shared" si="1"/>
        <v>A33528-KASEMEIER</v>
      </c>
      <c r="B91" t="s">
        <v>895</v>
      </c>
      <c r="C91" t="s">
        <v>896</v>
      </c>
    </row>
    <row r="92" spans="1:3">
      <c r="A92" t="str">
        <f t="shared" si="1"/>
        <v>A34502-ROCKFORD</v>
      </c>
      <c r="B92" t="s">
        <v>482</v>
      </c>
      <c r="C92" t="s">
        <v>483</v>
      </c>
    </row>
    <row r="93" spans="1:3">
      <c r="A93" t="str">
        <f t="shared" si="1"/>
        <v>A34516-CEDAR ACRE RESORT</v>
      </c>
      <c r="B93" t="s">
        <v>484</v>
      </c>
      <c r="C93" t="s">
        <v>1880</v>
      </c>
    </row>
    <row r="94" spans="1:3">
      <c r="A94" t="str">
        <f t="shared" si="1"/>
        <v>A34520-FOOTHILL</v>
      </c>
      <c r="B94" t="s">
        <v>485</v>
      </c>
      <c r="C94" t="s">
        <v>1589</v>
      </c>
    </row>
    <row r="95" spans="1:3">
      <c r="A95" t="str">
        <f t="shared" si="1"/>
        <v>A34522-ROTTINGHAUS</v>
      </c>
      <c r="B95" t="s">
        <v>897</v>
      </c>
      <c r="C95" t="s">
        <v>1600</v>
      </c>
    </row>
    <row r="96" spans="1:3">
      <c r="A96" t="str">
        <f t="shared" si="1"/>
        <v>A35502-GENEVA</v>
      </c>
      <c r="B96" t="s">
        <v>486</v>
      </c>
      <c r="C96" t="s">
        <v>487</v>
      </c>
    </row>
    <row r="97" spans="1:3">
      <c r="A97" t="str">
        <f t="shared" si="1"/>
        <v>A35520-BRANDT</v>
      </c>
      <c r="B97" t="s">
        <v>1941</v>
      </c>
      <c r="C97" t="s">
        <v>1942</v>
      </c>
    </row>
    <row r="98" spans="1:3">
      <c r="A98" t="str">
        <f t="shared" si="1"/>
        <v>A35522-MCDOWELL SAND</v>
      </c>
      <c r="B98" t="s">
        <v>488</v>
      </c>
      <c r="C98" t="s">
        <v>489</v>
      </c>
    </row>
    <row r="99" spans="1:3">
      <c r="A99" t="str">
        <f t="shared" si="1"/>
        <v>A37504-JEFFERSON</v>
      </c>
      <c r="B99" t="s">
        <v>490</v>
      </c>
      <c r="C99" t="s">
        <v>261</v>
      </c>
    </row>
    <row r="100" spans="1:3">
      <c r="A100" t="str">
        <f t="shared" si="1"/>
        <v>A37514-WRIGHT</v>
      </c>
      <c r="B100" t="s">
        <v>1943</v>
      </c>
      <c r="C100" t="s">
        <v>731</v>
      </c>
    </row>
    <row r="101" spans="1:3">
      <c r="A101" t="str">
        <f t="shared" si="1"/>
        <v>A37520-JEFFERSON</v>
      </c>
      <c r="B101" t="s">
        <v>491</v>
      </c>
      <c r="C101" t="s">
        <v>261</v>
      </c>
    </row>
    <row r="102" spans="1:3">
      <c r="A102" t="str">
        <f t="shared" si="1"/>
        <v>A38504-HERONIMOUS</v>
      </c>
      <c r="B102" t="s">
        <v>898</v>
      </c>
      <c r="C102" t="s">
        <v>899</v>
      </c>
    </row>
    <row r="103" spans="1:3">
      <c r="A103" t="str">
        <f t="shared" si="1"/>
        <v>A38506-MEESTER</v>
      </c>
      <c r="B103" t="s">
        <v>900</v>
      </c>
      <c r="C103" t="s">
        <v>901</v>
      </c>
    </row>
    <row r="104" spans="1:3">
      <c r="A104" t="str">
        <f t="shared" si="1"/>
        <v>A39508-L &amp; L</v>
      </c>
      <c r="B104" t="s">
        <v>902</v>
      </c>
      <c r="C104" t="s">
        <v>903</v>
      </c>
    </row>
    <row r="105" spans="1:3">
      <c r="A105" t="str">
        <f t="shared" si="1"/>
        <v>A40512-ANDERSON</v>
      </c>
      <c r="B105" t="s">
        <v>904</v>
      </c>
      <c r="C105" t="s">
        <v>384</v>
      </c>
    </row>
    <row r="106" spans="1:3">
      <c r="A106" t="str">
        <f t="shared" si="1"/>
        <v>A42512-HARDIN AGGREGATES</v>
      </c>
      <c r="B106" t="s">
        <v>905</v>
      </c>
      <c r="C106" t="s">
        <v>906</v>
      </c>
    </row>
    <row r="107" spans="1:3">
      <c r="A107" t="str">
        <f t="shared" si="1"/>
        <v>A42532-H &amp; M FARMS</v>
      </c>
      <c r="B107" t="s">
        <v>907</v>
      </c>
      <c r="C107" t="s">
        <v>908</v>
      </c>
    </row>
    <row r="108" spans="1:3">
      <c r="A108" t="str">
        <f t="shared" si="1"/>
        <v>A43512-WOODBINE-MCCANN</v>
      </c>
      <c r="B108" t="s">
        <v>499</v>
      </c>
      <c r="C108" t="s">
        <v>500</v>
      </c>
    </row>
    <row r="109" spans="1:3">
      <c r="A109" t="str">
        <f t="shared" si="1"/>
        <v>A44502-NORTH ROME</v>
      </c>
      <c r="B109" t="s">
        <v>909</v>
      </c>
      <c r="C109" t="s">
        <v>910</v>
      </c>
    </row>
    <row r="110" spans="1:3">
      <c r="A110" t="str">
        <f t="shared" si="1"/>
        <v>A44504-ENSMINGER-ROME</v>
      </c>
      <c r="B110" t="s">
        <v>911</v>
      </c>
      <c r="C110" t="s">
        <v>912</v>
      </c>
    </row>
    <row r="111" spans="1:3">
      <c r="A111" t="str">
        <f t="shared" si="1"/>
        <v>A44506-COPPOCK SAND</v>
      </c>
      <c r="B111" t="s">
        <v>913</v>
      </c>
      <c r="C111" t="s">
        <v>914</v>
      </c>
    </row>
    <row r="112" spans="1:3">
      <c r="A112" t="str">
        <f t="shared" si="1"/>
        <v>A45504-ECKERMAN</v>
      </c>
      <c r="B112" t="s">
        <v>510</v>
      </c>
      <c r="C112" t="s">
        <v>511</v>
      </c>
    </row>
    <row r="113" spans="1:3">
      <c r="A113" t="str">
        <f t="shared" si="1"/>
        <v>A45508-SOVEREIGN</v>
      </c>
      <c r="B113" t="s">
        <v>512</v>
      </c>
      <c r="C113" t="s">
        <v>513</v>
      </c>
    </row>
    <row r="114" spans="1:3">
      <c r="A114" t="str">
        <f t="shared" si="1"/>
        <v>A45516-FREIDERICH</v>
      </c>
      <c r="B114" t="s">
        <v>915</v>
      </c>
      <c r="C114" t="s">
        <v>916</v>
      </c>
    </row>
    <row r="115" spans="1:3">
      <c r="A115" t="str">
        <f t="shared" si="1"/>
        <v>A45518-ELMA</v>
      </c>
      <c r="B115" t="s">
        <v>917</v>
      </c>
      <c r="C115" t="s">
        <v>509</v>
      </c>
    </row>
    <row r="116" spans="1:3">
      <c r="A116" t="str">
        <f t="shared" si="1"/>
        <v>A45520-HOOVER</v>
      </c>
      <c r="B116" t="s">
        <v>918</v>
      </c>
      <c r="C116" t="s">
        <v>919</v>
      </c>
    </row>
    <row r="117" spans="1:3">
      <c r="A117" t="str">
        <f t="shared" si="1"/>
        <v>A45522-LE ROY</v>
      </c>
      <c r="B117" t="s">
        <v>2088</v>
      </c>
      <c r="C117" t="s">
        <v>2089</v>
      </c>
    </row>
    <row r="118" spans="1:3">
      <c r="A118" t="str">
        <f t="shared" si="1"/>
        <v>A46516-ERICKSON</v>
      </c>
      <c r="B118" t="s">
        <v>920</v>
      </c>
      <c r="C118" t="s">
        <v>520</v>
      </c>
    </row>
    <row r="119" spans="1:3">
      <c r="A119" t="str">
        <f t="shared" si="1"/>
        <v>A46518-PEDERSEN</v>
      </c>
      <c r="B119" t="s">
        <v>523</v>
      </c>
      <c r="C119" t="s">
        <v>519</v>
      </c>
    </row>
    <row r="120" spans="1:3">
      <c r="A120" t="str">
        <f t="shared" si="1"/>
        <v>A46522-VOTE</v>
      </c>
      <c r="B120" t="s">
        <v>2159</v>
      </c>
      <c r="C120" t="s">
        <v>2160</v>
      </c>
    </row>
    <row r="121" spans="1:3">
      <c r="A121" t="str">
        <f t="shared" si="1"/>
        <v>A47504-CROCKER</v>
      </c>
      <c r="B121" t="s">
        <v>2136</v>
      </c>
      <c r="C121" t="s">
        <v>2137</v>
      </c>
    </row>
    <row r="122" spans="1:3">
      <c r="A122" t="str">
        <f t="shared" si="1"/>
        <v>A48508-DISTERHOFT</v>
      </c>
      <c r="B122" t="s">
        <v>921</v>
      </c>
      <c r="C122" t="s">
        <v>922</v>
      </c>
    </row>
    <row r="123" spans="1:3">
      <c r="A123" t="str">
        <f t="shared" si="1"/>
        <v>A49506-BELLEVUE</v>
      </c>
      <c r="B123" t="s">
        <v>541</v>
      </c>
      <c r="C123" t="s">
        <v>525</v>
      </c>
    </row>
    <row r="124" spans="1:3">
      <c r="A124" t="str">
        <f t="shared" si="1"/>
        <v>A49516-TURNER</v>
      </c>
      <c r="B124" t="s">
        <v>542</v>
      </c>
      <c r="C124" t="s">
        <v>543</v>
      </c>
    </row>
    <row r="125" spans="1:3">
      <c r="A125" t="str">
        <f t="shared" si="1"/>
        <v>A49526-BELLEVUE FARM</v>
      </c>
      <c r="B125" t="s">
        <v>544</v>
      </c>
      <c r="C125" t="s">
        <v>545</v>
      </c>
    </row>
    <row r="126" spans="1:3">
      <c r="A126" t="str">
        <f t="shared" si="1"/>
        <v>A49530-PETERSON</v>
      </c>
      <c r="B126" t="s">
        <v>546</v>
      </c>
      <c r="C126" t="s">
        <v>538</v>
      </c>
    </row>
    <row r="127" spans="1:3">
      <c r="A127" t="str">
        <f t="shared" si="1"/>
        <v>A49538-MAQUOKETA SAND</v>
      </c>
      <c r="B127" t="s">
        <v>2012</v>
      </c>
      <c r="C127" t="s">
        <v>2013</v>
      </c>
    </row>
    <row r="128" spans="1:3">
      <c r="A128" t="str">
        <f t="shared" si="1"/>
        <v>A50504-REASNOR</v>
      </c>
      <c r="B128" t="s">
        <v>923</v>
      </c>
      <c r="C128" t="s">
        <v>924</v>
      </c>
    </row>
    <row r="129" spans="1:3">
      <c r="A129" t="str">
        <f t="shared" si="1"/>
        <v>A52508-WILLIAMS</v>
      </c>
      <c r="B129" t="s">
        <v>925</v>
      </c>
      <c r="C129" t="s">
        <v>479</v>
      </c>
    </row>
    <row r="130" spans="1:3">
      <c r="A130" t="str">
        <f t="shared" si="1"/>
        <v>A52510-RIVERSIDE #2</v>
      </c>
      <c r="B130" t="s">
        <v>926</v>
      </c>
      <c r="C130" t="s">
        <v>927</v>
      </c>
    </row>
    <row r="131" spans="1:3">
      <c r="A131" t="str">
        <f t="shared" si="1"/>
        <v>A52512-RIVERSIDE SAND</v>
      </c>
      <c r="B131" t="s">
        <v>1601</v>
      </c>
      <c r="C131" t="s">
        <v>1602</v>
      </c>
    </row>
    <row r="132" spans="1:3">
      <c r="A132" t="str">
        <f t="shared" ref="A132:A195" si="2">CONCATENATE(B132,"-",C132)</f>
        <v>A53522-WEBER</v>
      </c>
      <c r="B132" t="s">
        <v>928</v>
      </c>
      <c r="C132" t="s">
        <v>453</v>
      </c>
    </row>
    <row r="133" spans="1:3">
      <c r="A133" t="str">
        <f t="shared" si="2"/>
        <v>A53526-STEPHENS</v>
      </c>
      <c r="B133" t="s">
        <v>1944</v>
      </c>
      <c r="C133" t="s">
        <v>1945</v>
      </c>
    </row>
    <row r="134" spans="1:3">
      <c r="A134" t="str">
        <f t="shared" si="2"/>
        <v>A53528-ANAMOSA</v>
      </c>
      <c r="B134" t="s">
        <v>929</v>
      </c>
      <c r="C134" t="s">
        <v>565</v>
      </c>
    </row>
    <row r="135" spans="1:3">
      <c r="A135" t="str">
        <f t="shared" si="2"/>
        <v>A53530-ANAMOSA-WOOD'S</v>
      </c>
      <c r="B135" t="s">
        <v>930</v>
      </c>
      <c r="C135" t="s">
        <v>931</v>
      </c>
    </row>
    <row r="136" spans="1:3">
      <c r="A136" t="str">
        <f t="shared" si="2"/>
        <v>A53532-LOES</v>
      </c>
      <c r="B136" t="s">
        <v>932</v>
      </c>
      <c r="C136" t="s">
        <v>933</v>
      </c>
    </row>
    <row r="137" spans="1:3">
      <c r="A137" t="str">
        <f t="shared" si="2"/>
        <v>A56504-VINCENNES</v>
      </c>
      <c r="B137" t="s">
        <v>934</v>
      </c>
      <c r="C137" t="s">
        <v>572</v>
      </c>
    </row>
    <row r="138" spans="1:3">
      <c r="A138" t="str">
        <f t="shared" si="2"/>
        <v>A56506-FT MADISON</v>
      </c>
      <c r="B138" t="s">
        <v>935</v>
      </c>
      <c r="C138" t="s">
        <v>936</v>
      </c>
    </row>
    <row r="139" spans="1:3">
      <c r="A139" t="str">
        <f t="shared" si="2"/>
        <v>A56508-LEE COUNTY S &amp; G</v>
      </c>
      <c r="B139" t="s">
        <v>937</v>
      </c>
      <c r="C139" t="s">
        <v>938</v>
      </c>
    </row>
    <row r="140" spans="1:3">
      <c r="A140" t="str">
        <f t="shared" si="2"/>
        <v>A57520-IVANHOE</v>
      </c>
      <c r="B140" t="s">
        <v>939</v>
      </c>
      <c r="C140" t="s">
        <v>940</v>
      </c>
    </row>
    <row r="141" spans="1:3">
      <c r="A141" t="str">
        <f t="shared" si="2"/>
        <v>A57528-BLAIRSFERRY SAND</v>
      </c>
      <c r="B141" t="s">
        <v>587</v>
      </c>
      <c r="C141" t="s">
        <v>588</v>
      </c>
    </row>
    <row r="142" spans="1:3">
      <c r="A142" t="str">
        <f t="shared" si="2"/>
        <v>A57530-HESS</v>
      </c>
      <c r="B142" t="s">
        <v>941</v>
      </c>
      <c r="C142" t="s">
        <v>942</v>
      </c>
    </row>
    <row r="143" spans="1:3">
      <c r="A143" t="str">
        <f t="shared" si="2"/>
        <v>A57534-LINN COUNTY SAND</v>
      </c>
      <c r="B143" t="s">
        <v>943</v>
      </c>
      <c r="C143" t="s">
        <v>944</v>
      </c>
    </row>
    <row r="144" spans="1:3">
      <c r="A144" t="str">
        <f t="shared" si="2"/>
        <v>A57536-POWER PLANT</v>
      </c>
      <c r="B144" t="s">
        <v>945</v>
      </c>
      <c r="C144" t="s">
        <v>946</v>
      </c>
    </row>
    <row r="145" spans="1:3">
      <c r="A145" t="str">
        <f t="shared" si="2"/>
        <v>A58504-FREDONIA</v>
      </c>
      <c r="B145" t="s">
        <v>947</v>
      </c>
      <c r="C145" t="s">
        <v>948</v>
      </c>
    </row>
    <row r="146" spans="1:3">
      <c r="A146" t="str">
        <f t="shared" si="2"/>
        <v>A60502-ROCK RAPIDS #1</v>
      </c>
      <c r="B146" t="s">
        <v>591</v>
      </c>
      <c r="C146" t="s">
        <v>592</v>
      </c>
    </row>
    <row r="147" spans="1:3">
      <c r="A147" t="str">
        <f t="shared" si="2"/>
        <v>A62502-G71</v>
      </c>
      <c r="B147" t="s">
        <v>949</v>
      </c>
      <c r="C147" t="s">
        <v>950</v>
      </c>
    </row>
    <row r="148" spans="1:3">
      <c r="A148" t="str">
        <f t="shared" si="2"/>
        <v>A63502-BEAN PROPERTY</v>
      </c>
      <c r="B148" t="s">
        <v>1946</v>
      </c>
      <c r="C148" t="s">
        <v>1947</v>
      </c>
    </row>
    <row r="149" spans="1:3">
      <c r="A149" t="str">
        <f t="shared" si="2"/>
        <v>A63512-NEW HARVEY</v>
      </c>
      <c r="B149" t="s">
        <v>596</v>
      </c>
      <c r="C149" t="s">
        <v>597</v>
      </c>
    </row>
    <row r="150" spans="1:3">
      <c r="A150" t="str">
        <f t="shared" si="2"/>
        <v>A64508-NEW MARSHALLTOWN</v>
      </c>
      <c r="B150" t="s">
        <v>1905</v>
      </c>
      <c r="C150" t="s">
        <v>1906</v>
      </c>
    </row>
    <row r="151" spans="1:3">
      <c r="A151" t="str">
        <f t="shared" si="2"/>
        <v>A66502-OSAGE-SCHMIDT</v>
      </c>
      <c r="B151" t="s">
        <v>951</v>
      </c>
      <c r="C151" t="s">
        <v>952</v>
      </c>
    </row>
    <row r="152" spans="1:3">
      <c r="A152" t="str">
        <f t="shared" si="2"/>
        <v>A66512-KLAAHSEN</v>
      </c>
      <c r="B152" t="s">
        <v>953</v>
      </c>
      <c r="C152" t="s">
        <v>954</v>
      </c>
    </row>
    <row r="153" spans="1:3">
      <c r="A153" t="str">
        <f t="shared" si="2"/>
        <v>A66514-LOVIK</v>
      </c>
      <c r="B153" t="s">
        <v>955</v>
      </c>
      <c r="C153" t="s">
        <v>956</v>
      </c>
    </row>
    <row r="154" spans="1:3">
      <c r="A154" t="str">
        <f t="shared" si="2"/>
        <v>A66516-BOERJAN</v>
      </c>
      <c r="B154" t="s">
        <v>606</v>
      </c>
      <c r="C154" t="s">
        <v>607</v>
      </c>
    </row>
    <row r="155" spans="1:3">
      <c r="A155" t="str">
        <f t="shared" si="2"/>
        <v>A66520-LESCH</v>
      </c>
      <c r="B155" t="s">
        <v>957</v>
      </c>
      <c r="C155" t="s">
        <v>605</v>
      </c>
    </row>
    <row r="156" spans="1:3">
      <c r="A156" t="str">
        <f t="shared" si="2"/>
        <v>A67502-RODNEY</v>
      </c>
      <c r="B156" t="s">
        <v>608</v>
      </c>
      <c r="C156" t="s">
        <v>609</v>
      </c>
    </row>
    <row r="157" spans="1:3">
      <c r="A157" t="str">
        <f t="shared" si="2"/>
        <v>A70504-ATALISSA-MCKILLIP</v>
      </c>
      <c r="B157" t="s">
        <v>1948</v>
      </c>
      <c r="C157" t="s">
        <v>1949</v>
      </c>
    </row>
    <row r="158" spans="1:3">
      <c r="A158" t="str">
        <f t="shared" si="2"/>
        <v>A70506-ACME</v>
      </c>
      <c r="B158" t="s">
        <v>612</v>
      </c>
      <c r="C158" t="s">
        <v>613</v>
      </c>
    </row>
    <row r="159" spans="1:3">
      <c r="A159" t="str">
        <f t="shared" si="2"/>
        <v>A71504-RABE PAULLINA</v>
      </c>
      <c r="B159" t="s">
        <v>958</v>
      </c>
      <c r="C159" t="s">
        <v>959</v>
      </c>
    </row>
    <row r="160" spans="1:3">
      <c r="A160" t="str">
        <f t="shared" si="2"/>
        <v>A71536-PHLOW CREEK</v>
      </c>
      <c r="B160" t="s">
        <v>960</v>
      </c>
      <c r="C160" t="s">
        <v>961</v>
      </c>
    </row>
    <row r="161" spans="1:3">
      <c r="A161" t="str">
        <f t="shared" si="2"/>
        <v>A72504-OCHEYEDAN</v>
      </c>
      <c r="B161" t="s">
        <v>614</v>
      </c>
      <c r="C161" t="s">
        <v>615</v>
      </c>
    </row>
    <row r="162" spans="1:3">
      <c r="A162" t="str">
        <f t="shared" si="2"/>
        <v>A72506-ASHTON</v>
      </c>
      <c r="B162" t="s">
        <v>616</v>
      </c>
      <c r="C162" t="s">
        <v>617</v>
      </c>
    </row>
    <row r="163" spans="1:3">
      <c r="A163" t="str">
        <f t="shared" si="2"/>
        <v>A72524-BOERHAVE</v>
      </c>
      <c r="B163" t="s">
        <v>962</v>
      </c>
      <c r="C163" t="s">
        <v>963</v>
      </c>
    </row>
    <row r="164" spans="1:3">
      <c r="A164" t="str">
        <f t="shared" si="2"/>
        <v>A72530-BOYD</v>
      </c>
      <c r="B164" t="s">
        <v>618</v>
      </c>
      <c r="C164" t="s">
        <v>619</v>
      </c>
    </row>
    <row r="165" spans="1:3">
      <c r="A165" t="str">
        <f t="shared" si="2"/>
        <v>A72532-ENGEL</v>
      </c>
      <c r="B165" t="s">
        <v>964</v>
      </c>
      <c r="C165" t="s">
        <v>2090</v>
      </c>
    </row>
    <row r="166" spans="1:3">
      <c r="A166" t="str">
        <f t="shared" si="2"/>
        <v>A72534-ASHTON-SEIVERT</v>
      </c>
      <c r="B166" t="s">
        <v>620</v>
      </c>
      <c r="C166" t="s">
        <v>621</v>
      </c>
    </row>
    <row r="167" spans="1:3">
      <c r="A167" t="str">
        <f t="shared" si="2"/>
        <v>A72538-MONEY PIT #1</v>
      </c>
      <c r="B167" t="s">
        <v>1603</v>
      </c>
      <c r="C167" t="s">
        <v>1591</v>
      </c>
    </row>
    <row r="168" spans="1:3">
      <c r="A168" t="str">
        <f t="shared" si="2"/>
        <v>A73508-SHENANDOAH-CONNELL II</v>
      </c>
      <c r="B168" t="s">
        <v>622</v>
      </c>
      <c r="C168" t="s">
        <v>623</v>
      </c>
    </row>
    <row r="169" spans="1:3">
      <c r="A169" t="str">
        <f t="shared" si="2"/>
        <v>A74502-EMMETSBURG S&amp;G</v>
      </c>
      <c r="B169" t="s">
        <v>624</v>
      </c>
      <c r="C169" t="s">
        <v>625</v>
      </c>
    </row>
    <row r="170" spans="1:3">
      <c r="A170" t="str">
        <f t="shared" si="2"/>
        <v>A75502-AKRON</v>
      </c>
      <c r="B170" t="s">
        <v>626</v>
      </c>
      <c r="C170" t="s">
        <v>627</v>
      </c>
    </row>
    <row r="171" spans="1:3">
      <c r="A171" t="str">
        <f t="shared" si="2"/>
        <v>A75524-G DIRKSEN #2</v>
      </c>
      <c r="B171" t="s">
        <v>965</v>
      </c>
      <c r="C171" t="s">
        <v>966</v>
      </c>
    </row>
    <row r="172" spans="1:3">
      <c r="A172" t="str">
        <f t="shared" si="2"/>
        <v>A75526-FRITZ DIRKSEN</v>
      </c>
      <c r="B172" t="s">
        <v>967</v>
      </c>
      <c r="C172" t="s">
        <v>968</v>
      </c>
    </row>
    <row r="173" spans="1:3">
      <c r="A173" t="str">
        <f t="shared" si="2"/>
        <v>A76514-MILLER</v>
      </c>
      <c r="B173" t="s">
        <v>969</v>
      </c>
      <c r="C173" t="s">
        <v>317</v>
      </c>
    </row>
    <row r="174" spans="1:3">
      <c r="A174" t="str">
        <f t="shared" si="2"/>
        <v>A76518-BANWART</v>
      </c>
      <c r="B174" t="s">
        <v>1604</v>
      </c>
      <c r="C174" t="s">
        <v>1605</v>
      </c>
    </row>
    <row r="175" spans="1:3">
      <c r="A175" t="str">
        <f t="shared" si="2"/>
        <v>A77504-DENNY-JOHNSTON</v>
      </c>
      <c r="B175" t="s">
        <v>630</v>
      </c>
      <c r="C175" t="s">
        <v>631</v>
      </c>
    </row>
    <row r="176" spans="1:3">
      <c r="A176" t="str">
        <f t="shared" si="2"/>
        <v>A77522-EDM #2-VANDALIA</v>
      </c>
      <c r="B176" t="s">
        <v>632</v>
      </c>
      <c r="C176" t="s">
        <v>633</v>
      </c>
    </row>
    <row r="177" spans="1:3">
      <c r="A177" t="str">
        <f t="shared" si="2"/>
        <v>A77530-NORTH DES MOINES WHITE</v>
      </c>
      <c r="B177" t="s">
        <v>634</v>
      </c>
      <c r="C177" t="s">
        <v>1763</v>
      </c>
    </row>
    <row r="178" spans="1:3">
      <c r="A178" t="str">
        <f t="shared" si="2"/>
        <v>A77534-SAYLORVILLE SAND</v>
      </c>
      <c r="B178" t="s">
        <v>635</v>
      </c>
      <c r="C178" t="s">
        <v>636</v>
      </c>
    </row>
    <row r="179" spans="1:3">
      <c r="A179" t="str">
        <f t="shared" si="2"/>
        <v>A77538-NORTH DES MOINES HOVELAND</v>
      </c>
      <c r="B179" t="s">
        <v>1592</v>
      </c>
      <c r="C179" t="s">
        <v>1593</v>
      </c>
    </row>
    <row r="180" spans="1:3">
      <c r="A180" t="str">
        <f t="shared" si="2"/>
        <v>A77540-P-HILL EAST</v>
      </c>
      <c r="B180" t="s">
        <v>2091</v>
      </c>
      <c r="C180" t="s">
        <v>2092</v>
      </c>
    </row>
    <row r="181" spans="1:3">
      <c r="A181" t="str">
        <f t="shared" si="2"/>
        <v>A78504-OAKLAND</v>
      </c>
      <c r="B181" t="s">
        <v>637</v>
      </c>
      <c r="C181" t="s">
        <v>638</v>
      </c>
    </row>
    <row r="182" spans="1:3">
      <c r="A182" t="str">
        <f t="shared" si="2"/>
        <v>A81502-SACTON-LAKEVIEW</v>
      </c>
      <c r="B182" t="s">
        <v>641</v>
      </c>
      <c r="C182" t="s">
        <v>642</v>
      </c>
    </row>
    <row r="183" spans="1:3">
      <c r="A183" t="str">
        <f t="shared" si="2"/>
        <v>A81504-AUBURN</v>
      </c>
      <c r="B183" t="s">
        <v>643</v>
      </c>
      <c r="C183" t="s">
        <v>644</v>
      </c>
    </row>
    <row r="184" spans="1:3">
      <c r="A184" t="str">
        <f t="shared" si="2"/>
        <v>A81506-SAC CITY</v>
      </c>
      <c r="B184" t="s">
        <v>970</v>
      </c>
      <c r="C184" t="s">
        <v>971</v>
      </c>
    </row>
    <row r="185" spans="1:3">
      <c r="A185" t="str">
        <f t="shared" si="2"/>
        <v>A81514-CARNARVON S&amp;G</v>
      </c>
      <c r="B185" t="s">
        <v>645</v>
      </c>
      <c r="C185" t="s">
        <v>646</v>
      </c>
    </row>
    <row r="186" spans="1:3">
      <c r="A186" t="str">
        <f t="shared" si="2"/>
        <v>A81520-UREN</v>
      </c>
      <c r="B186" t="s">
        <v>972</v>
      </c>
      <c r="C186" t="s">
        <v>973</v>
      </c>
    </row>
    <row r="187" spans="1:3">
      <c r="A187" t="str">
        <f t="shared" si="2"/>
        <v>A81528-WALL LAKE</v>
      </c>
      <c r="B187" t="s">
        <v>647</v>
      </c>
      <c r="C187" t="s">
        <v>648</v>
      </c>
    </row>
    <row r="188" spans="1:3">
      <c r="A188" t="str">
        <f t="shared" si="2"/>
        <v>A81530-LEITZ NORTH</v>
      </c>
      <c r="B188" t="s">
        <v>974</v>
      </c>
      <c r="C188" t="s">
        <v>975</v>
      </c>
    </row>
    <row r="189" spans="1:3">
      <c r="A189" t="str">
        <f t="shared" si="2"/>
        <v>A81534-EARLY</v>
      </c>
      <c r="B189" t="s">
        <v>976</v>
      </c>
      <c r="C189" t="s">
        <v>977</v>
      </c>
    </row>
    <row r="190" spans="1:3">
      <c r="A190" t="str">
        <f t="shared" si="2"/>
        <v>A81536-DAIKER</v>
      </c>
      <c r="B190" t="s">
        <v>978</v>
      </c>
      <c r="C190" t="s">
        <v>979</v>
      </c>
    </row>
    <row r="191" spans="1:3">
      <c r="A191" t="str">
        <f t="shared" si="2"/>
        <v>A81542-WALL LAKE BOYER</v>
      </c>
      <c r="B191" t="s">
        <v>649</v>
      </c>
      <c r="C191" t="s">
        <v>650</v>
      </c>
    </row>
    <row r="192" spans="1:3">
      <c r="A192" t="str">
        <f t="shared" si="2"/>
        <v>A81544-ULMER-MEISTER</v>
      </c>
      <c r="B192" t="s">
        <v>651</v>
      </c>
      <c r="C192" t="s">
        <v>652</v>
      </c>
    </row>
    <row r="193" spans="1:3">
      <c r="A193" t="str">
        <f t="shared" si="2"/>
        <v>A81546-MEISTER</v>
      </c>
      <c r="B193" t="s">
        <v>653</v>
      </c>
      <c r="C193" t="s">
        <v>654</v>
      </c>
    </row>
    <row r="194" spans="1:3">
      <c r="A194" t="str">
        <f t="shared" si="2"/>
        <v>A81550-HOSTENG-HAGGE</v>
      </c>
      <c r="B194" t="s">
        <v>980</v>
      </c>
      <c r="C194" t="s">
        <v>2161</v>
      </c>
    </row>
    <row r="195" spans="1:3">
      <c r="A195" t="str">
        <f t="shared" si="2"/>
        <v>A81552-BEDROCK-WL</v>
      </c>
      <c r="B195" t="s">
        <v>2162</v>
      </c>
      <c r="C195" t="s">
        <v>2163</v>
      </c>
    </row>
    <row r="196" spans="1:3">
      <c r="A196" t="str">
        <f t="shared" ref="A196:A259" si="3">CONCATENATE(B196,"-",C196)</f>
        <v>A83506-HARLAN-REINIG</v>
      </c>
      <c r="B196" t="s">
        <v>663</v>
      </c>
      <c r="C196" t="s">
        <v>664</v>
      </c>
    </row>
    <row r="197" spans="1:3">
      <c r="A197" t="str">
        <f t="shared" si="3"/>
        <v>A84502-VANZEE</v>
      </c>
      <c r="B197" t="s">
        <v>665</v>
      </c>
      <c r="C197" t="s">
        <v>666</v>
      </c>
    </row>
    <row r="198" spans="1:3">
      <c r="A198" t="str">
        <f t="shared" si="3"/>
        <v>A84506-HUDSON-OSTERCAMP</v>
      </c>
      <c r="B198" t="s">
        <v>981</v>
      </c>
      <c r="C198" t="s">
        <v>982</v>
      </c>
    </row>
    <row r="199" spans="1:3">
      <c r="A199" t="str">
        <f t="shared" si="3"/>
        <v>A84510-HAWARDEN-NORTH</v>
      </c>
      <c r="B199" t="s">
        <v>667</v>
      </c>
      <c r="C199" t="s">
        <v>668</v>
      </c>
    </row>
    <row r="200" spans="1:3">
      <c r="A200" t="str">
        <f t="shared" si="3"/>
        <v>A84528-HIGMAN-CHATSWORTH</v>
      </c>
      <c r="B200" t="s">
        <v>669</v>
      </c>
      <c r="C200" t="s">
        <v>670</v>
      </c>
    </row>
    <row r="201" spans="1:3">
      <c r="A201" t="str">
        <f t="shared" si="3"/>
        <v>A84532-LASSON</v>
      </c>
      <c r="B201" t="s">
        <v>671</v>
      </c>
      <c r="C201" t="s">
        <v>672</v>
      </c>
    </row>
    <row r="202" spans="1:3">
      <c r="A202" t="str">
        <f t="shared" si="3"/>
        <v>A84536-VANBEEK</v>
      </c>
      <c r="B202" t="s">
        <v>673</v>
      </c>
      <c r="C202" t="s">
        <v>674</v>
      </c>
    </row>
    <row r="203" spans="1:3">
      <c r="A203" t="str">
        <f t="shared" si="3"/>
        <v>A84538-VAN'T HUL</v>
      </c>
      <c r="B203" t="s">
        <v>675</v>
      </c>
      <c r="C203" t="s">
        <v>676</v>
      </c>
    </row>
    <row r="204" spans="1:3">
      <c r="A204" t="str">
        <f t="shared" si="3"/>
        <v>A85510-AMES SOUTH</v>
      </c>
      <c r="B204" t="s">
        <v>679</v>
      </c>
      <c r="C204" t="s">
        <v>680</v>
      </c>
    </row>
    <row r="205" spans="1:3">
      <c r="A205" t="str">
        <f t="shared" si="3"/>
        <v>A85512-INROADS AMES SAND</v>
      </c>
      <c r="B205" t="s">
        <v>2164</v>
      </c>
      <c r="C205" t="s">
        <v>2165</v>
      </c>
    </row>
    <row r="206" spans="1:3">
      <c r="A206" t="str">
        <f t="shared" si="3"/>
        <v>A86502-FLINT</v>
      </c>
      <c r="B206" t="s">
        <v>983</v>
      </c>
      <c r="C206" t="s">
        <v>984</v>
      </c>
    </row>
    <row r="207" spans="1:3">
      <c r="A207" t="str">
        <f t="shared" si="3"/>
        <v>A90506-OTTUMWA SAND</v>
      </c>
      <c r="B207" t="s">
        <v>985</v>
      </c>
      <c r="C207" t="s">
        <v>2093</v>
      </c>
    </row>
    <row r="208" spans="1:3">
      <c r="A208" t="str">
        <f t="shared" si="3"/>
        <v>A90508-STEVENSON</v>
      </c>
      <c r="B208" t="s">
        <v>986</v>
      </c>
      <c r="C208" t="s">
        <v>987</v>
      </c>
    </row>
    <row r="209" spans="1:3">
      <c r="A209" t="str">
        <f t="shared" si="3"/>
        <v>A90510-CHILLICOTHE</v>
      </c>
      <c r="B209" t="s">
        <v>988</v>
      </c>
      <c r="C209" t="s">
        <v>989</v>
      </c>
    </row>
    <row r="210" spans="1:3">
      <c r="A210" t="str">
        <f t="shared" si="3"/>
        <v>A92502-RIVERSIDE</v>
      </c>
      <c r="B210" t="s">
        <v>990</v>
      </c>
      <c r="C210" t="s">
        <v>991</v>
      </c>
    </row>
    <row r="211" spans="1:3">
      <c r="A211" t="str">
        <f t="shared" si="3"/>
        <v>A94502-YATES</v>
      </c>
      <c r="B211" t="s">
        <v>992</v>
      </c>
      <c r="C211" t="s">
        <v>993</v>
      </c>
    </row>
    <row r="212" spans="1:3">
      <c r="A212" t="str">
        <f t="shared" si="3"/>
        <v>A94522-CROFT</v>
      </c>
      <c r="B212" t="s">
        <v>994</v>
      </c>
      <c r="C212" t="s">
        <v>995</v>
      </c>
    </row>
    <row r="213" spans="1:3">
      <c r="A213" t="str">
        <f t="shared" si="3"/>
        <v>A94526-BUSKE</v>
      </c>
      <c r="B213" t="s">
        <v>996</v>
      </c>
      <c r="C213" t="s">
        <v>693</v>
      </c>
    </row>
    <row r="214" spans="1:3">
      <c r="A214" t="str">
        <f t="shared" si="3"/>
        <v>A94532-REIGELSBERGER</v>
      </c>
      <c r="B214" t="s">
        <v>997</v>
      </c>
      <c r="C214" t="s">
        <v>998</v>
      </c>
    </row>
    <row r="215" spans="1:3">
      <c r="A215" t="str">
        <f t="shared" si="3"/>
        <v>A96502-DECORAH</v>
      </c>
      <c r="B215" t="s">
        <v>999</v>
      </c>
      <c r="C215" t="s">
        <v>1000</v>
      </c>
    </row>
    <row r="216" spans="1:3">
      <c r="A216" t="str">
        <f t="shared" si="3"/>
        <v>A96506-FREEPORT</v>
      </c>
      <c r="B216" t="s">
        <v>1001</v>
      </c>
      <c r="C216" t="s">
        <v>1002</v>
      </c>
    </row>
    <row r="217" spans="1:3">
      <c r="A217" t="str">
        <f t="shared" si="3"/>
        <v>A96520-SWEDES BOTTOM</v>
      </c>
      <c r="B217" t="s">
        <v>1003</v>
      </c>
      <c r="C217" t="s">
        <v>1004</v>
      </c>
    </row>
    <row r="218" spans="1:3">
      <c r="A218" t="str">
        <f t="shared" si="3"/>
        <v>A96526-STIKA</v>
      </c>
      <c r="B218" t="s">
        <v>2014</v>
      </c>
      <c r="C218" t="s">
        <v>705</v>
      </c>
    </row>
    <row r="219" spans="1:3">
      <c r="A219" t="str">
        <f t="shared" si="3"/>
        <v>A96528-GJETLEY</v>
      </c>
      <c r="B219" t="s">
        <v>1005</v>
      </c>
      <c r="C219" t="s">
        <v>699</v>
      </c>
    </row>
    <row r="220" spans="1:3">
      <c r="A220" t="str">
        <f t="shared" si="3"/>
        <v>A96530-CARLSON-FREEPORT</v>
      </c>
      <c r="B220" t="s">
        <v>1006</v>
      </c>
      <c r="C220" t="s">
        <v>1007</v>
      </c>
    </row>
    <row r="221" spans="1:3">
      <c r="A221" t="str">
        <f t="shared" si="3"/>
        <v>A96532-SCHMITT</v>
      </c>
      <c r="B221" t="s">
        <v>1907</v>
      </c>
      <c r="C221" t="s">
        <v>1908</v>
      </c>
    </row>
    <row r="222" spans="1:3">
      <c r="A222" t="str">
        <f t="shared" si="3"/>
        <v>A97502-CORRECTIONVILLE-BUCK</v>
      </c>
      <c r="B222" t="s">
        <v>709</v>
      </c>
      <c r="C222" t="s">
        <v>710</v>
      </c>
    </row>
    <row r="223" spans="1:3">
      <c r="A223" t="str">
        <f t="shared" si="3"/>
        <v>A97516-ANTHON</v>
      </c>
      <c r="B223" t="s">
        <v>711</v>
      </c>
      <c r="C223" t="s">
        <v>712</v>
      </c>
    </row>
    <row r="224" spans="1:3">
      <c r="A224" t="str">
        <f t="shared" si="3"/>
        <v>A97518-SMITHLAND</v>
      </c>
      <c r="B224" t="s">
        <v>713</v>
      </c>
      <c r="C224" t="s">
        <v>714</v>
      </c>
    </row>
    <row r="225" spans="1:3">
      <c r="A225" t="str">
        <f t="shared" si="3"/>
        <v>A97528-EDWARDS</v>
      </c>
      <c r="B225" t="s">
        <v>1008</v>
      </c>
      <c r="C225" t="s">
        <v>1009</v>
      </c>
    </row>
    <row r="226" spans="1:3">
      <c r="A226" t="str">
        <f t="shared" si="3"/>
        <v>A97532-CREASEY</v>
      </c>
      <c r="B226" t="s">
        <v>1010</v>
      </c>
      <c r="C226" t="s">
        <v>1011</v>
      </c>
    </row>
    <row r="227" spans="1:3">
      <c r="A227" t="str">
        <f t="shared" si="3"/>
        <v>A97538-ANTHON-WRIGHT</v>
      </c>
      <c r="B227" t="s">
        <v>715</v>
      </c>
      <c r="C227" t="s">
        <v>716</v>
      </c>
    </row>
    <row r="228" spans="1:3">
      <c r="A228" t="str">
        <f t="shared" si="3"/>
        <v>A98502-RANDALL TRANSIT MIX</v>
      </c>
      <c r="B228" t="s">
        <v>725</v>
      </c>
      <c r="C228" t="s">
        <v>726</v>
      </c>
    </row>
    <row r="229" spans="1:3">
      <c r="A229" t="str">
        <f t="shared" si="3"/>
        <v>A98504-FERTILE</v>
      </c>
      <c r="B229" t="s">
        <v>727</v>
      </c>
      <c r="C229" t="s">
        <v>718</v>
      </c>
    </row>
    <row r="230" spans="1:3">
      <c r="A230" t="str">
        <f t="shared" si="3"/>
        <v>A98524-TRENHAILE</v>
      </c>
      <c r="B230" t="s">
        <v>1950</v>
      </c>
      <c r="C230" t="s">
        <v>724</v>
      </c>
    </row>
    <row r="231" spans="1:3">
      <c r="A231" t="str">
        <f t="shared" si="3"/>
        <v>A99502-WRIGHT</v>
      </c>
      <c r="B231" t="s">
        <v>730</v>
      </c>
      <c r="C231" t="s">
        <v>731</v>
      </c>
    </row>
    <row r="232" spans="1:3">
      <c r="A232" t="str">
        <f t="shared" si="3"/>
        <v>A99510-MEINEKE</v>
      </c>
      <c r="B232" t="s">
        <v>1012</v>
      </c>
      <c r="C232" t="s">
        <v>1013</v>
      </c>
    </row>
    <row r="233" spans="1:3">
      <c r="A233" t="str">
        <f t="shared" si="3"/>
        <v>A99524-STECHER</v>
      </c>
      <c r="B233" t="s">
        <v>1014</v>
      </c>
      <c r="C233" t="s">
        <v>1015</v>
      </c>
    </row>
    <row r="234" spans="1:3">
      <c r="A234" t="str">
        <f t="shared" si="3"/>
        <v>AIL502-ALBANY(MC@511)-ROCK ISLAND</v>
      </c>
      <c r="B234" t="s">
        <v>2166</v>
      </c>
      <c r="C234" t="s">
        <v>2167</v>
      </c>
    </row>
    <row r="235" spans="1:3">
      <c r="A235" t="str">
        <f t="shared" si="3"/>
        <v>AIL522-CORDOVA INLAND (MC17)</v>
      </c>
      <c r="B235" t="s">
        <v>1017</v>
      </c>
      <c r="C235" t="s">
        <v>1018</v>
      </c>
    </row>
    <row r="236" spans="1:3">
      <c r="A236" t="str">
        <f t="shared" si="3"/>
        <v>AIL526-BLUFF CITY SAND</v>
      </c>
      <c r="B236" t="s">
        <v>1019</v>
      </c>
      <c r="C236" t="s">
        <v>1020</v>
      </c>
    </row>
    <row r="237" spans="1:3">
      <c r="A237" t="str">
        <f t="shared" si="3"/>
        <v>AKS504-FRISBIE-PLANT #3</v>
      </c>
      <c r="B237" t="s">
        <v>2015</v>
      </c>
      <c r="C237" t="s">
        <v>2016</v>
      </c>
    </row>
    <row r="238" spans="1:3">
      <c r="A238" t="str">
        <f t="shared" si="3"/>
        <v>AKS506-OAKLAND SAND PIT</v>
      </c>
      <c r="B238" t="s">
        <v>2017</v>
      </c>
      <c r="C238" t="s">
        <v>2018</v>
      </c>
    </row>
    <row r="239" spans="1:3">
      <c r="A239" t="str">
        <f t="shared" si="3"/>
        <v>AKS508-SILVER LAKE SAND PIT</v>
      </c>
      <c r="B239" t="s">
        <v>2019</v>
      </c>
      <c r="C239" t="s">
        <v>2020</v>
      </c>
    </row>
    <row r="240" spans="1:3">
      <c r="A240" t="str">
        <f t="shared" si="3"/>
        <v>AKS510-DESOTO SAND</v>
      </c>
      <c r="B240" t="s">
        <v>2168</v>
      </c>
      <c r="C240" t="s">
        <v>2169</v>
      </c>
    </row>
    <row r="241" spans="1:3">
      <c r="A241" t="str">
        <f t="shared" si="3"/>
        <v>AMN516-OLSON</v>
      </c>
      <c r="B241" t="s">
        <v>1021</v>
      </c>
      <c r="C241" t="s">
        <v>873</v>
      </c>
    </row>
    <row r="242" spans="1:3">
      <c r="A242" t="str">
        <f t="shared" si="3"/>
        <v>AMN518-LANESBORO</v>
      </c>
      <c r="B242" t="s">
        <v>1022</v>
      </c>
      <c r="C242" t="s">
        <v>313</v>
      </c>
    </row>
    <row r="243" spans="1:3">
      <c r="A243" t="str">
        <f t="shared" si="3"/>
        <v>AMN522-PRAIRIE ISLAND #3</v>
      </c>
      <c r="B243" t="s">
        <v>761</v>
      </c>
      <c r="C243" t="s">
        <v>762</v>
      </c>
    </row>
    <row r="244" spans="1:3">
      <c r="A244" t="str">
        <f t="shared" si="3"/>
        <v>AMN528-POPE</v>
      </c>
      <c r="B244" t="s">
        <v>1891</v>
      </c>
      <c r="C244" t="s">
        <v>1892</v>
      </c>
    </row>
    <row r="245" spans="1:3">
      <c r="A245" t="str">
        <f t="shared" si="3"/>
        <v>AMN536-ELK RIVER</v>
      </c>
      <c r="B245" t="s">
        <v>763</v>
      </c>
      <c r="C245" t="s">
        <v>764</v>
      </c>
    </row>
    <row r="246" spans="1:3">
      <c r="A246" t="str">
        <f t="shared" si="3"/>
        <v>AMN538-SHADE</v>
      </c>
      <c r="B246" t="s">
        <v>1023</v>
      </c>
      <c r="C246" t="s">
        <v>1024</v>
      </c>
    </row>
    <row r="247" spans="1:3">
      <c r="A247" t="str">
        <f t="shared" si="3"/>
        <v>AMN544-LAKEVILLE</v>
      </c>
      <c r="B247" t="s">
        <v>765</v>
      </c>
      <c r="C247" t="s">
        <v>766</v>
      </c>
    </row>
    <row r="248" spans="1:3">
      <c r="A248" t="str">
        <f t="shared" si="3"/>
        <v>AMN550-SACHS</v>
      </c>
      <c r="B248" t="s">
        <v>767</v>
      </c>
      <c r="C248" t="s">
        <v>768</v>
      </c>
    </row>
    <row r="249" spans="1:3">
      <c r="A249" t="str">
        <f t="shared" si="3"/>
        <v>AMN552-WINDMILL</v>
      </c>
      <c r="B249" t="s">
        <v>1025</v>
      </c>
      <c r="C249" t="s">
        <v>1026</v>
      </c>
    </row>
    <row r="250" spans="1:3">
      <c r="A250" t="str">
        <f t="shared" si="3"/>
        <v>AMN554-ANNENDALE</v>
      </c>
      <c r="B250" t="s">
        <v>1027</v>
      </c>
      <c r="C250" t="s">
        <v>1028</v>
      </c>
    </row>
    <row r="251" spans="1:3">
      <c r="A251" t="str">
        <f t="shared" si="3"/>
        <v>AMN558-ST CROIX</v>
      </c>
      <c r="B251" t="s">
        <v>769</v>
      </c>
      <c r="C251" t="s">
        <v>770</v>
      </c>
    </row>
    <row r="252" spans="1:3">
      <c r="A252" t="str">
        <f t="shared" si="3"/>
        <v>AMN560-ROSEMOUNT</v>
      </c>
      <c r="B252" t="s">
        <v>771</v>
      </c>
      <c r="C252" t="s">
        <v>772</v>
      </c>
    </row>
    <row r="253" spans="1:3">
      <c r="A253" t="str">
        <f t="shared" si="3"/>
        <v>AMN562-LUVERNE</v>
      </c>
      <c r="B253" t="s">
        <v>1029</v>
      </c>
      <c r="C253" t="s">
        <v>1030</v>
      </c>
    </row>
    <row r="254" spans="1:3">
      <c r="A254" t="str">
        <f t="shared" si="3"/>
        <v>AMN566-ELK RIVER</v>
      </c>
      <c r="B254" t="s">
        <v>773</v>
      </c>
      <c r="C254" t="s">
        <v>764</v>
      </c>
    </row>
    <row r="255" spans="1:3">
      <c r="A255" t="str">
        <f t="shared" si="3"/>
        <v>AMN568-EMPIRE</v>
      </c>
      <c r="B255" t="s">
        <v>774</v>
      </c>
      <c r="C255" t="s">
        <v>775</v>
      </c>
    </row>
    <row r="256" spans="1:3">
      <c r="A256" t="str">
        <f t="shared" si="3"/>
        <v>AMN572-KUESTER #3</v>
      </c>
      <c r="B256" t="s">
        <v>1031</v>
      </c>
      <c r="C256" t="s">
        <v>1032</v>
      </c>
    </row>
    <row r="257" spans="1:3">
      <c r="A257" t="str">
        <f t="shared" si="3"/>
        <v>AMN574-LINDMAN SOUTH</v>
      </c>
      <c r="B257" t="s">
        <v>1606</v>
      </c>
      <c r="C257" t="s">
        <v>1607</v>
      </c>
    </row>
    <row r="258" spans="1:3">
      <c r="A258" t="str">
        <f t="shared" si="3"/>
        <v>AMN576-TILSTRA</v>
      </c>
      <c r="B258" t="s">
        <v>1893</v>
      </c>
      <c r="C258" t="s">
        <v>1894</v>
      </c>
    </row>
    <row r="259" spans="1:3">
      <c r="A259" t="str">
        <f t="shared" si="3"/>
        <v>AMO502-WAYLAND</v>
      </c>
      <c r="B259" t="s">
        <v>1033</v>
      </c>
      <c r="C259" t="s">
        <v>1034</v>
      </c>
    </row>
    <row r="260" spans="1:3">
      <c r="A260" t="str">
        <f t="shared" ref="A260:A283" si="4">CONCATENATE(B260,"-",C260)</f>
        <v>AMO516-MOUNT MORIAH</v>
      </c>
      <c r="B260" t="s">
        <v>1035</v>
      </c>
      <c r="C260" t="s">
        <v>1036</v>
      </c>
    </row>
    <row r="261" spans="1:3">
      <c r="A261" t="str">
        <f t="shared" si="4"/>
        <v>AMO520-STANBERRY</v>
      </c>
      <c r="B261" t="s">
        <v>1037</v>
      </c>
      <c r="C261" t="s">
        <v>1038</v>
      </c>
    </row>
    <row r="262" spans="1:3">
      <c r="A262" t="str">
        <f t="shared" si="4"/>
        <v>AMO524-CS61 LAGRANGE S&amp;G</v>
      </c>
      <c r="B262" t="s">
        <v>1039</v>
      </c>
      <c r="C262" t="s">
        <v>1040</v>
      </c>
    </row>
    <row r="263" spans="1:3">
      <c r="A263" t="str">
        <f t="shared" si="4"/>
        <v>ANE504-WATERLOO #40</v>
      </c>
      <c r="B263" t="s">
        <v>790</v>
      </c>
      <c r="C263" t="s">
        <v>791</v>
      </c>
    </row>
    <row r="264" spans="1:3">
      <c r="A264" t="str">
        <f t="shared" si="4"/>
        <v>ANE544-VALLEY</v>
      </c>
      <c r="B264" t="s">
        <v>792</v>
      </c>
      <c r="C264" t="s">
        <v>793</v>
      </c>
    </row>
    <row r="265" spans="1:3">
      <c r="A265" t="str">
        <f t="shared" si="4"/>
        <v>ANE548-WEST CENTER SAND</v>
      </c>
      <c r="B265" t="s">
        <v>794</v>
      </c>
      <c r="C265" t="s">
        <v>1595</v>
      </c>
    </row>
    <row r="266" spans="1:3">
      <c r="A266" t="str">
        <f t="shared" si="4"/>
        <v>ANE552-WATERLOO SAND</v>
      </c>
      <c r="B266" t="s">
        <v>1041</v>
      </c>
      <c r="C266" t="s">
        <v>823</v>
      </c>
    </row>
    <row r="267" spans="1:3">
      <c r="A267" t="str">
        <f t="shared" si="4"/>
        <v>ANE560-PLANT #45</v>
      </c>
      <c r="B267" t="s">
        <v>795</v>
      </c>
      <c r="C267" t="s">
        <v>2148</v>
      </c>
    </row>
    <row r="268" spans="1:3">
      <c r="A268" t="str">
        <f t="shared" si="4"/>
        <v>ANE564-NORTH VALLEY SAND</v>
      </c>
      <c r="B268" t="s">
        <v>796</v>
      </c>
      <c r="C268" t="s">
        <v>1596</v>
      </c>
    </row>
    <row r="269" spans="1:3">
      <c r="A269" t="str">
        <f t="shared" si="4"/>
        <v>ANE566-PLANT #52</v>
      </c>
      <c r="B269" t="s">
        <v>797</v>
      </c>
      <c r="C269" t="s">
        <v>798</v>
      </c>
    </row>
    <row r="270" spans="1:3">
      <c r="A270" t="str">
        <f t="shared" si="4"/>
        <v>ASD522-BROOKINGS</v>
      </c>
      <c r="B270" t="s">
        <v>1042</v>
      </c>
      <c r="C270" t="s">
        <v>1043</v>
      </c>
    </row>
    <row r="271" spans="1:3">
      <c r="A271" t="str">
        <f t="shared" si="4"/>
        <v>ASD526-CORSON</v>
      </c>
      <c r="B271" t="s">
        <v>804</v>
      </c>
      <c r="C271" t="s">
        <v>805</v>
      </c>
    </row>
    <row r="272" spans="1:3">
      <c r="A272" t="str">
        <f t="shared" si="4"/>
        <v>ASD528-EAST SIOUX</v>
      </c>
      <c r="B272" t="s">
        <v>1044</v>
      </c>
      <c r="C272" t="s">
        <v>803</v>
      </c>
    </row>
    <row r="273" spans="1:3">
      <c r="A273" t="str">
        <f t="shared" si="4"/>
        <v>AWI502-PRAIRIE DU CHIEN</v>
      </c>
      <c r="B273" t="s">
        <v>814</v>
      </c>
      <c r="C273" t="s">
        <v>815</v>
      </c>
    </row>
    <row r="274" spans="1:3">
      <c r="A274" t="str">
        <f t="shared" si="4"/>
        <v>AWI504-VOGT</v>
      </c>
      <c r="B274" t="s">
        <v>816</v>
      </c>
      <c r="C274" t="s">
        <v>2021</v>
      </c>
    </row>
    <row r="275" spans="1:3">
      <c r="A275" t="str">
        <f t="shared" si="4"/>
        <v>AWI506-KRAMER</v>
      </c>
      <c r="B275" t="s">
        <v>1045</v>
      </c>
      <c r="C275" t="s">
        <v>1046</v>
      </c>
    </row>
    <row r="276" spans="1:3">
      <c r="A276" t="str">
        <f t="shared" si="4"/>
        <v>AWI508-BARN</v>
      </c>
      <c r="B276" t="s">
        <v>1047</v>
      </c>
      <c r="C276" t="s">
        <v>1048</v>
      </c>
    </row>
    <row r="277" spans="1:3">
      <c r="A277" t="str">
        <f t="shared" si="4"/>
        <v>AWI514-HAGER CITY</v>
      </c>
      <c r="B277" t="s">
        <v>817</v>
      </c>
      <c r="C277" t="s">
        <v>818</v>
      </c>
    </row>
    <row r="278" spans="1:3">
      <c r="A278" t="str">
        <f t="shared" si="4"/>
        <v>AWI516-SCHEER</v>
      </c>
      <c r="B278" t="s">
        <v>1049</v>
      </c>
      <c r="C278" t="s">
        <v>1050</v>
      </c>
    </row>
    <row r="279" spans="1:3">
      <c r="A279" t="str">
        <f t="shared" si="4"/>
        <v>AWI522-RIB FALLS PLANT</v>
      </c>
      <c r="B279" t="s">
        <v>1051</v>
      </c>
      <c r="C279" t="s">
        <v>1052</v>
      </c>
    </row>
    <row r="280" spans="1:3">
      <c r="A280" t="str">
        <f t="shared" si="4"/>
        <v>AWI524-HAEF</v>
      </c>
      <c r="B280" t="s">
        <v>819</v>
      </c>
      <c r="C280" t="s">
        <v>820</v>
      </c>
    </row>
    <row r="281" spans="1:3">
      <c r="A281" t="str">
        <f t="shared" si="4"/>
        <v>AWI526-MILAS</v>
      </c>
      <c r="B281" t="s">
        <v>1053</v>
      </c>
      <c r="C281" t="s">
        <v>1054</v>
      </c>
    </row>
    <row r="282" spans="1:3">
      <c r="A282" t="str">
        <f t="shared" si="4"/>
        <v>AWI528-NELSON</v>
      </c>
      <c r="B282" t="s">
        <v>821</v>
      </c>
      <c r="C282" t="s">
        <v>344</v>
      </c>
    </row>
    <row r="283" spans="1:3">
      <c r="A283" t="str">
        <f t="shared" si="4"/>
        <v>AWI532-WOLF-DOUSMAN</v>
      </c>
      <c r="B283" t="s">
        <v>2151</v>
      </c>
      <c r="C283" t="s">
        <v>2170</v>
      </c>
    </row>
    <row r="284" spans="1:3">
      <c r="A284" t="str">
        <f t="shared" ref="A284" si="5">CONCATENATE(B284,"-",C284)</f>
        <v>AWI528-NELSON</v>
      </c>
      <c r="B284" t="s">
        <v>821</v>
      </c>
      <c r="C284" t="s">
        <v>344</v>
      </c>
    </row>
  </sheetData>
  <sheetProtection algorithmName="SHA-512" hashValue="kdRNoEPVObSBGDI5SJe1LCvtnj9A54JMRPa7u26CPkgWRJUaev9Kh7pDv5LKKXiaGUr9bGoEVrBQ+mtJPuMPEg==" saltValue="dqF4mmsPIms9/3pRwOYuOA==" spinCount="100000" sheet="1" objects="1" scenarios="1"/>
  <mergeCells count="1">
    <mergeCell ref="A1:D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1EAB6-3EF9-4F57-A265-344748F74D0F}">
  <sheetPr codeName="Sheet16"/>
  <dimension ref="A1:Q65"/>
  <sheetViews>
    <sheetView zoomScale="90" zoomScaleNormal="90" workbookViewId="0">
      <selection activeCell="G23" sqref="G23"/>
    </sheetView>
  </sheetViews>
  <sheetFormatPr defaultRowHeight="15"/>
  <cols>
    <col min="1" max="1" width="42.21875" bestFit="1" customWidth="1"/>
    <col min="3" max="3" width="24.33203125" bestFit="1" customWidth="1"/>
    <col min="4" max="4" width="11.21875" bestFit="1" customWidth="1"/>
    <col min="6" max="6" width="11.21875" bestFit="1" customWidth="1"/>
    <col min="7" max="7" width="11.21875" customWidth="1"/>
    <col min="9" max="9" width="6.77734375" customWidth="1"/>
    <col min="10" max="11" width="37.5546875" bestFit="1" customWidth="1"/>
    <col min="13" max="13" width="16" bestFit="1" customWidth="1"/>
    <col min="14" max="14" width="6.21875" customWidth="1"/>
    <col min="15" max="15" width="11.44140625" bestFit="1" customWidth="1"/>
    <col min="16" max="16" width="5.33203125" customWidth="1"/>
    <col min="17" max="17" width="5.21875" customWidth="1"/>
  </cols>
  <sheetData>
    <row r="1" spans="1:17" ht="14.45" customHeight="1">
      <c r="A1" s="720" t="s">
        <v>3</v>
      </c>
      <c r="B1" s="720"/>
      <c r="C1" s="720"/>
      <c r="D1" s="720"/>
      <c r="E1" s="720"/>
      <c r="G1" s="531"/>
      <c r="H1" s="531"/>
      <c r="I1" s="531"/>
      <c r="J1" s="531"/>
      <c r="K1" s="531"/>
      <c r="M1" s="719"/>
      <c r="N1" s="719"/>
      <c r="O1" s="719"/>
      <c r="P1" s="719"/>
      <c r="Q1" s="719"/>
    </row>
    <row r="2" spans="1:17" ht="14.45" customHeight="1">
      <c r="A2" s="720"/>
      <c r="B2" s="720"/>
      <c r="C2" s="720"/>
      <c r="D2" s="720"/>
      <c r="E2" s="720"/>
      <c r="G2" s="531"/>
      <c r="H2" s="531"/>
      <c r="I2" s="531"/>
      <c r="J2" s="531"/>
      <c r="K2" s="531"/>
      <c r="M2" s="719"/>
      <c r="N2" s="719"/>
      <c r="O2" s="719"/>
      <c r="P2" s="719"/>
      <c r="Q2" s="719"/>
    </row>
    <row r="3" spans="1:17">
      <c r="A3" s="454"/>
      <c r="B3" s="454"/>
      <c r="C3" s="454"/>
      <c r="D3" s="454"/>
      <c r="E3" s="454"/>
      <c r="J3" s="90" t="s">
        <v>1827</v>
      </c>
      <c r="K3" s="90" t="s">
        <v>176</v>
      </c>
    </row>
    <row r="4" spans="1:17">
      <c r="A4" s="454" t="str">
        <f t="shared" ref="A4:A50" si="0">_xlfn.CONCAT(B4, "-", C4, "-",D4)</f>
        <v>PC0003-Ash Grove - Louisville-III</v>
      </c>
      <c r="B4" s="454" t="s">
        <v>1056</v>
      </c>
      <c r="C4" s="454" t="s">
        <v>1055</v>
      </c>
      <c r="D4" s="454" t="s">
        <v>195</v>
      </c>
      <c r="E4" s="455">
        <v>3.15</v>
      </c>
      <c r="F4" s="90" t="s">
        <v>1828</v>
      </c>
      <c r="G4" s="532" t="s">
        <v>173</v>
      </c>
      <c r="H4" s="533">
        <v>0</v>
      </c>
      <c r="I4" s="533">
        <v>1</v>
      </c>
      <c r="J4" s="90" t="s">
        <v>1867</v>
      </c>
      <c r="K4" s="90" t="s">
        <v>1829</v>
      </c>
      <c r="P4" s="167"/>
    </row>
    <row r="5" spans="1:17">
      <c r="A5" s="454" t="str">
        <f t="shared" si="0"/>
        <v>PC0008-Ash Grove - Louisville-IP(25)</v>
      </c>
      <c r="B5" s="454" t="s">
        <v>1057</v>
      </c>
      <c r="C5" s="454" t="s">
        <v>1055</v>
      </c>
      <c r="D5" s="454" t="s">
        <v>179</v>
      </c>
      <c r="E5" s="455">
        <v>2.99</v>
      </c>
      <c r="F5" t="s">
        <v>1833</v>
      </c>
      <c r="G5" s="532" t="s">
        <v>174</v>
      </c>
      <c r="H5" s="533">
        <v>0</v>
      </c>
      <c r="I5" s="533">
        <v>1</v>
      </c>
      <c r="J5" s="90" t="s">
        <v>1867</v>
      </c>
      <c r="K5" s="545" t="s">
        <v>1868</v>
      </c>
      <c r="P5" s="167"/>
    </row>
    <row r="6" spans="1:17">
      <c r="A6" s="454" t="str">
        <f t="shared" si="0"/>
        <v>PC0009-Ash Grove - Louisville-IL</v>
      </c>
      <c r="B6" s="454" t="s">
        <v>1858</v>
      </c>
      <c r="C6" s="454" t="s">
        <v>1055</v>
      </c>
      <c r="D6" s="454" t="s">
        <v>1936</v>
      </c>
      <c r="E6" s="455">
        <v>3.11</v>
      </c>
      <c r="F6" t="s">
        <v>228</v>
      </c>
      <c r="G6" s="532" t="s">
        <v>195</v>
      </c>
      <c r="H6" s="533">
        <v>0</v>
      </c>
      <c r="I6" s="533">
        <v>1</v>
      </c>
      <c r="J6" s="90" t="s">
        <v>1830</v>
      </c>
      <c r="K6" s="90" t="s">
        <v>1830</v>
      </c>
    </row>
    <row r="7" spans="1:17">
      <c r="A7" s="454" t="str">
        <f t="shared" si="0"/>
        <v>PC0018-Ash Grove - Louisville-IP(30)</v>
      </c>
      <c r="B7" s="454" t="s">
        <v>1909</v>
      </c>
      <c r="C7" s="454" t="s">
        <v>1055</v>
      </c>
      <c r="D7" s="454" t="s">
        <v>1910</v>
      </c>
      <c r="E7" s="455">
        <v>2.9</v>
      </c>
      <c r="F7" t="s">
        <v>1833</v>
      </c>
      <c r="G7" s="532" t="s">
        <v>1936</v>
      </c>
      <c r="H7" s="533">
        <v>0.1</v>
      </c>
      <c r="I7" s="533">
        <v>0.9</v>
      </c>
      <c r="J7" s="90" t="s">
        <v>1867</v>
      </c>
      <c r="K7" s="545" t="s">
        <v>1868</v>
      </c>
    </row>
    <row r="8" spans="1:17">
      <c r="A8" s="454" t="str">
        <f t="shared" si="0"/>
        <v>PC0028-Ash Grove - Louisville-IP(35)</v>
      </c>
      <c r="B8" s="454" t="s">
        <v>2171</v>
      </c>
      <c r="C8" s="454" t="s">
        <v>1055</v>
      </c>
      <c r="D8" s="454" t="s">
        <v>2172</v>
      </c>
      <c r="E8" s="455">
        <v>2.86</v>
      </c>
      <c r="F8" t="s">
        <v>1833</v>
      </c>
      <c r="G8" s="532" t="s">
        <v>179</v>
      </c>
      <c r="H8" s="533">
        <v>0.25</v>
      </c>
      <c r="I8" s="533">
        <v>0.75</v>
      </c>
      <c r="J8" s="90"/>
      <c r="K8" s="545"/>
    </row>
    <row r="9" spans="1:17">
      <c r="A9" s="454" t="str">
        <f t="shared" si="0"/>
        <v>PC0103-Ash Grove - Chanute-III</v>
      </c>
      <c r="B9" s="454" t="s">
        <v>1059</v>
      </c>
      <c r="C9" s="454" t="s">
        <v>1058</v>
      </c>
      <c r="D9" s="454" t="s">
        <v>195</v>
      </c>
      <c r="E9" s="455">
        <v>3.15</v>
      </c>
      <c r="G9" s="532" t="s">
        <v>1910</v>
      </c>
      <c r="H9" s="533">
        <v>0.3</v>
      </c>
      <c r="I9" s="533">
        <v>0.7</v>
      </c>
      <c r="J9" s="90"/>
      <c r="K9" s="545"/>
    </row>
    <row r="10" spans="1:17">
      <c r="A10" s="454" t="str">
        <f t="shared" si="0"/>
        <v>PC0108-Ash Grove - Chanute-IP(25)</v>
      </c>
      <c r="B10" s="454" t="s">
        <v>1060</v>
      </c>
      <c r="C10" s="454" t="s">
        <v>1058</v>
      </c>
      <c r="D10" s="454" t="s">
        <v>179</v>
      </c>
      <c r="E10" s="455">
        <v>2.97</v>
      </c>
      <c r="F10" t="s">
        <v>1833</v>
      </c>
      <c r="G10" s="532" t="s">
        <v>2172</v>
      </c>
      <c r="H10" s="533">
        <v>0.35</v>
      </c>
      <c r="I10" s="533">
        <v>0.65</v>
      </c>
      <c r="J10" s="90" t="s">
        <v>1828</v>
      </c>
      <c r="K10" s="545" t="s">
        <v>1828</v>
      </c>
    </row>
    <row r="11" spans="1:17">
      <c r="A11" s="454" t="str">
        <f t="shared" si="0"/>
        <v>PC0109-Ash Grove - Chanute-IL</v>
      </c>
      <c r="B11" s="454" t="s">
        <v>2003</v>
      </c>
      <c r="C11" s="454" t="s">
        <v>1058</v>
      </c>
      <c r="D11" s="454" t="s">
        <v>1936</v>
      </c>
      <c r="E11" s="455">
        <v>3.11</v>
      </c>
      <c r="F11" t="s">
        <v>228</v>
      </c>
      <c r="G11" s="532" t="s">
        <v>2094</v>
      </c>
      <c r="H11" s="533">
        <v>0.2</v>
      </c>
      <c r="I11" s="533">
        <v>0.8</v>
      </c>
      <c r="J11" s="90" t="s">
        <v>1828</v>
      </c>
      <c r="K11" s="545" t="s">
        <v>1828</v>
      </c>
    </row>
    <row r="12" spans="1:17" ht="15.75">
      <c r="A12" s="454" t="str">
        <f t="shared" si="0"/>
        <v>PC0203-Quikrete - Hannibal-III</v>
      </c>
      <c r="B12" s="454" t="s">
        <v>1061</v>
      </c>
      <c r="C12" s="454" t="s">
        <v>2173</v>
      </c>
      <c r="D12" s="454" t="s">
        <v>195</v>
      </c>
      <c r="E12" s="455">
        <v>3.15</v>
      </c>
      <c r="G12" s="589" t="s">
        <v>2174</v>
      </c>
      <c r="H12" s="167">
        <v>0.3</v>
      </c>
      <c r="I12" s="167">
        <v>0.7</v>
      </c>
      <c r="J12" s="90" t="s">
        <v>1828</v>
      </c>
      <c r="K12" s="545" t="s">
        <v>1828</v>
      </c>
    </row>
    <row r="13" spans="1:17" ht="15.75">
      <c r="A13" s="454" t="str">
        <f t="shared" si="0"/>
        <v>PC0209-Quikrete - Hannibal-IL</v>
      </c>
      <c r="B13" s="454" t="s">
        <v>1801</v>
      </c>
      <c r="C13" s="454" t="s">
        <v>2173</v>
      </c>
      <c r="D13" s="454" t="s">
        <v>1936</v>
      </c>
      <c r="E13" s="455">
        <v>3.11</v>
      </c>
      <c r="F13" t="s">
        <v>228</v>
      </c>
      <c r="G13" s="589" t="s">
        <v>2095</v>
      </c>
      <c r="H13" s="167">
        <v>0.34</v>
      </c>
      <c r="I13" s="167">
        <v>0.66</v>
      </c>
      <c r="J13" s="90" t="s">
        <v>1828</v>
      </c>
      <c r="K13" s="545" t="s">
        <v>1828</v>
      </c>
    </row>
    <row r="14" spans="1:17" ht="15.75">
      <c r="A14" s="454" t="str">
        <f t="shared" si="0"/>
        <v>PC0403-Heidelberg - Mason City-III</v>
      </c>
      <c r="B14" s="454" t="s">
        <v>1062</v>
      </c>
      <c r="C14" s="454" t="s">
        <v>2175</v>
      </c>
      <c r="D14" s="454" t="s">
        <v>195</v>
      </c>
      <c r="E14" s="455">
        <v>3.15</v>
      </c>
      <c r="G14" s="589" t="s">
        <v>2096</v>
      </c>
      <c r="H14" s="167">
        <v>0.4</v>
      </c>
      <c r="I14" s="167">
        <v>0.6</v>
      </c>
      <c r="J14" s="90" t="s">
        <v>1828</v>
      </c>
      <c r="K14" s="545" t="s">
        <v>1828</v>
      </c>
    </row>
    <row r="15" spans="1:17">
      <c r="A15" s="454" t="str">
        <f t="shared" si="0"/>
        <v>PC0409-Heidelberg - Mason City-IL</v>
      </c>
      <c r="B15" s="454" t="s">
        <v>1063</v>
      </c>
      <c r="C15" s="454" t="s">
        <v>2175</v>
      </c>
      <c r="D15" s="454" t="s">
        <v>1936</v>
      </c>
      <c r="E15" s="455">
        <v>3.11</v>
      </c>
      <c r="F15" t="s">
        <v>228</v>
      </c>
      <c r="G15" s="532" t="s">
        <v>1911</v>
      </c>
      <c r="H15" s="533">
        <v>0.45</v>
      </c>
      <c r="I15" s="533">
        <v>0.55000000000000004</v>
      </c>
      <c r="K15" s="167"/>
    </row>
    <row r="16" spans="1:17">
      <c r="A16" s="454" t="str">
        <f t="shared" si="0"/>
        <v>PC0509-Quikrete - Buffalo-IL</v>
      </c>
      <c r="B16" s="454" t="s">
        <v>1765</v>
      </c>
      <c r="C16" s="454" t="s">
        <v>2176</v>
      </c>
      <c r="D16" s="454" t="s">
        <v>1936</v>
      </c>
      <c r="E16" s="455">
        <v>3.11</v>
      </c>
      <c r="F16" t="s">
        <v>228</v>
      </c>
      <c r="G16" s="532" t="s">
        <v>1934</v>
      </c>
      <c r="H16" s="533">
        <v>0.31</v>
      </c>
      <c r="I16" s="533">
        <v>0.69</v>
      </c>
      <c r="K16" s="167"/>
    </row>
    <row r="17" spans="1:11">
      <c r="A17" s="454" t="str">
        <f t="shared" si="0"/>
        <v>PC0703-Central Plains - Sugar Creek-III</v>
      </c>
      <c r="B17" s="454" t="s">
        <v>1064</v>
      </c>
      <c r="C17" s="454" t="s">
        <v>1802</v>
      </c>
      <c r="D17" s="454" t="s">
        <v>195</v>
      </c>
      <c r="E17" s="455">
        <v>3.15</v>
      </c>
      <c r="G17" s="532"/>
      <c r="H17" s="533"/>
      <c r="I17" s="533"/>
      <c r="K17" s="167"/>
    </row>
    <row r="18" spans="1:11">
      <c r="A18" s="454" t="str">
        <f t="shared" si="0"/>
        <v>PC0706-Central Plains - Sugar Creek-IT(S20)(L10)</v>
      </c>
      <c r="B18" s="454" t="s">
        <v>1859</v>
      </c>
      <c r="C18" s="454" t="s">
        <v>1802</v>
      </c>
      <c r="D18" s="454" t="s">
        <v>2174</v>
      </c>
      <c r="E18" s="455">
        <v>3.07</v>
      </c>
      <c r="F18" t="s">
        <v>1833</v>
      </c>
      <c r="G18" s="532"/>
      <c r="H18" s="533"/>
      <c r="I18" s="533"/>
      <c r="K18" s="167"/>
    </row>
    <row r="19" spans="1:11">
      <c r="A19" s="454" t="str">
        <f t="shared" si="0"/>
        <v>PC0709-Central Plains - Sugar Creek-IL</v>
      </c>
      <c r="B19" s="454" t="s">
        <v>1803</v>
      </c>
      <c r="C19" s="454" t="s">
        <v>1802</v>
      </c>
      <c r="D19" s="454" t="s">
        <v>1936</v>
      </c>
      <c r="E19" s="455">
        <v>3.11</v>
      </c>
      <c r="F19" t="s">
        <v>228</v>
      </c>
      <c r="K19" s="167"/>
    </row>
    <row r="20" spans="1:11">
      <c r="A20" s="454" t="str">
        <f t="shared" si="0"/>
        <v>PC0803-Monarch - Humboldt-III</v>
      </c>
      <c r="B20" s="454" t="s">
        <v>1066</v>
      </c>
      <c r="C20" s="454" t="s">
        <v>1065</v>
      </c>
      <c r="D20" s="454" t="s">
        <v>195</v>
      </c>
      <c r="E20" s="455">
        <v>3.15</v>
      </c>
      <c r="K20" s="167"/>
    </row>
    <row r="21" spans="1:11">
      <c r="A21" s="454" t="str">
        <f t="shared" si="0"/>
        <v>PC0809-Monarch - Humboldt-IL</v>
      </c>
      <c r="B21" s="454" t="s">
        <v>1860</v>
      </c>
      <c r="C21" s="454" t="s">
        <v>1065</v>
      </c>
      <c r="D21" s="454" t="s">
        <v>1936</v>
      </c>
      <c r="E21" s="455">
        <v>3.11</v>
      </c>
      <c r="F21" t="s">
        <v>228</v>
      </c>
      <c r="K21" s="167"/>
    </row>
    <row r="22" spans="1:11">
      <c r="A22" s="454" t="str">
        <f t="shared" si="0"/>
        <v>PC1003-GCC - Rapid City-III</v>
      </c>
      <c r="B22" s="454" t="s">
        <v>1068</v>
      </c>
      <c r="C22" s="454" t="s">
        <v>1067</v>
      </c>
      <c r="D22" s="454" t="s">
        <v>195</v>
      </c>
      <c r="E22" s="455">
        <v>3.15</v>
      </c>
      <c r="K22" s="167"/>
    </row>
    <row r="23" spans="1:11">
      <c r="A23" s="454" t="str">
        <f t="shared" si="0"/>
        <v>PC1008-GCC - Rapid City-IP(25)</v>
      </c>
      <c r="B23" s="454" t="s">
        <v>1069</v>
      </c>
      <c r="C23" s="454" t="s">
        <v>1067</v>
      </c>
      <c r="D23" s="454" t="s">
        <v>179</v>
      </c>
      <c r="E23" s="455">
        <v>3.05</v>
      </c>
      <c r="F23" t="s">
        <v>1833</v>
      </c>
      <c r="K23" s="167"/>
    </row>
    <row r="24" spans="1:11">
      <c r="A24" s="454" t="str">
        <f t="shared" si="0"/>
        <v>PC1009-GCC - Rapid City-IL</v>
      </c>
      <c r="B24" s="454" t="s">
        <v>1861</v>
      </c>
      <c r="C24" s="454" t="s">
        <v>1067</v>
      </c>
      <c r="D24" s="454" t="s">
        <v>1936</v>
      </c>
      <c r="E24" s="455">
        <v>3.11</v>
      </c>
      <c r="F24" t="s">
        <v>228</v>
      </c>
      <c r="K24" s="167"/>
    </row>
    <row r="25" spans="1:11">
      <c r="A25" s="454" t="str">
        <f t="shared" si="0"/>
        <v>PC1309-Amrize - Grand Chain-IL</v>
      </c>
      <c r="B25" s="454" t="s">
        <v>2004</v>
      </c>
      <c r="C25" s="454" t="s">
        <v>2177</v>
      </c>
      <c r="D25" s="454" t="s">
        <v>1936</v>
      </c>
      <c r="E25" s="455">
        <v>3.11</v>
      </c>
      <c r="F25" t="s">
        <v>228</v>
      </c>
      <c r="K25" s="167"/>
    </row>
    <row r="26" spans="1:11">
      <c r="A26" s="454" t="str">
        <f t="shared" si="0"/>
        <v>PC1409-Buzzi - Pryor-IL</v>
      </c>
      <c r="B26" s="454" t="s">
        <v>1804</v>
      </c>
      <c r="C26" s="454" t="s">
        <v>1070</v>
      </c>
      <c r="D26" s="454" t="s">
        <v>1936</v>
      </c>
      <c r="E26" s="455">
        <v>3.11</v>
      </c>
      <c r="F26" t="s">
        <v>228</v>
      </c>
      <c r="K26" s="167"/>
    </row>
    <row r="27" spans="1:11">
      <c r="A27" s="454" t="str">
        <f t="shared" si="0"/>
        <v>PC1509-Buzzi - Cape Girardeau-IL</v>
      </c>
      <c r="B27" s="454" t="s">
        <v>1805</v>
      </c>
      <c r="C27" s="454" t="s">
        <v>1071</v>
      </c>
      <c r="D27" s="454" t="s">
        <v>1936</v>
      </c>
      <c r="E27" s="455">
        <v>3.11</v>
      </c>
      <c r="F27" t="s">
        <v>228</v>
      </c>
      <c r="K27" s="167"/>
    </row>
    <row r="28" spans="1:11">
      <c r="A28" s="454" t="str">
        <f t="shared" si="0"/>
        <v>PC1702-St Marys - Ontario-II</v>
      </c>
      <c r="B28" s="454" t="s">
        <v>1072</v>
      </c>
      <c r="C28" s="454" t="s">
        <v>1073</v>
      </c>
      <c r="D28" s="454" t="s">
        <v>1807</v>
      </c>
      <c r="E28" s="455">
        <v>3.14</v>
      </c>
      <c r="F28" t="s">
        <v>228</v>
      </c>
      <c r="K28" s="167"/>
    </row>
    <row r="29" spans="1:11">
      <c r="A29" s="454" t="str">
        <f t="shared" si="0"/>
        <v>PC1809-Amrize- Alpena-IL</v>
      </c>
      <c r="B29" s="454" t="s">
        <v>1862</v>
      </c>
      <c r="C29" s="454" t="s">
        <v>2178</v>
      </c>
      <c r="D29" s="454" t="s">
        <v>1936</v>
      </c>
      <c r="E29" s="455">
        <v>3.11</v>
      </c>
      <c r="F29" t="s">
        <v>228</v>
      </c>
      <c r="K29" s="167"/>
    </row>
    <row r="30" spans="1:11">
      <c r="A30" s="454" t="str">
        <f t="shared" si="0"/>
        <v>PC1909-Amrize- Ada-IL</v>
      </c>
      <c r="B30" s="454" t="s">
        <v>2005</v>
      </c>
      <c r="C30" s="454" t="s">
        <v>2179</v>
      </c>
      <c r="D30" s="454" t="s">
        <v>1936</v>
      </c>
      <c r="E30" s="455">
        <v>3.11</v>
      </c>
      <c r="F30" t="s">
        <v>228</v>
      </c>
      <c r="K30" s="167"/>
    </row>
    <row r="31" spans="1:11">
      <c r="A31" s="454" t="str">
        <f t="shared" si="0"/>
        <v>PC2008-Amrize - Florence-IP(25)</v>
      </c>
      <c r="B31" s="454" t="s">
        <v>1074</v>
      </c>
      <c r="C31" s="454" t="s">
        <v>2180</v>
      </c>
      <c r="D31" s="454" t="s">
        <v>179</v>
      </c>
      <c r="E31" s="455">
        <v>3.01</v>
      </c>
      <c r="F31" t="s">
        <v>1833</v>
      </c>
      <c r="K31" s="167"/>
    </row>
    <row r="32" spans="1:11">
      <c r="A32" s="454" t="str">
        <f t="shared" si="0"/>
        <v>PC2009-Amrize - Florence-IL</v>
      </c>
      <c r="B32" s="454" t="s">
        <v>2181</v>
      </c>
      <c r="C32" s="454" t="s">
        <v>2180</v>
      </c>
      <c r="D32" s="454" t="s">
        <v>1936</v>
      </c>
      <c r="E32" s="455">
        <v>3.11</v>
      </c>
      <c r="F32" t="s">
        <v>228</v>
      </c>
      <c r="K32" s="167"/>
    </row>
    <row r="33" spans="1:11">
      <c r="A33" s="454" t="str">
        <f t="shared" si="0"/>
        <v>PC2806-Central Plains - Sugar Creek-IT(S38)(L7)</v>
      </c>
      <c r="B33" s="454" t="s">
        <v>1912</v>
      </c>
      <c r="C33" s="454" t="s">
        <v>1802</v>
      </c>
      <c r="D33" s="454" t="s">
        <v>1911</v>
      </c>
      <c r="E33" s="455">
        <v>3.05</v>
      </c>
      <c r="F33" t="s">
        <v>1833</v>
      </c>
      <c r="K33" s="167"/>
    </row>
    <row r="34" spans="1:11">
      <c r="A34" s="454" t="str">
        <f t="shared" si="0"/>
        <v>PC2816-Central Plains - Sugar Creek-IT(S25)(L9)</v>
      </c>
      <c r="B34" s="454" t="s">
        <v>2097</v>
      </c>
      <c r="C34" s="454" t="s">
        <v>1802</v>
      </c>
      <c r="D34" s="454" t="s">
        <v>2095</v>
      </c>
      <c r="E34" s="455">
        <v>3.07</v>
      </c>
      <c r="F34" t="s">
        <v>1833</v>
      </c>
      <c r="K34" s="167"/>
    </row>
    <row r="35" spans="1:11">
      <c r="A35" s="454" t="str">
        <f t="shared" si="0"/>
        <v>PC2909-GCC - Pueblo-IL</v>
      </c>
      <c r="B35" s="454" t="s">
        <v>1863</v>
      </c>
      <c r="C35" s="454" t="s">
        <v>1075</v>
      </c>
      <c r="D35" s="454" t="s">
        <v>1936</v>
      </c>
      <c r="E35" s="455">
        <v>3.11</v>
      </c>
      <c r="F35" t="s">
        <v>228</v>
      </c>
      <c r="K35" s="167"/>
    </row>
    <row r="36" spans="1:11">
      <c r="A36" s="454" t="str">
        <f t="shared" si="0"/>
        <v>PC3009-Buzzi - Festus-IL</v>
      </c>
      <c r="B36" s="454" t="s">
        <v>1806</v>
      </c>
      <c r="C36" s="454" t="s">
        <v>1076</v>
      </c>
      <c r="D36" s="454" t="s">
        <v>1936</v>
      </c>
      <c r="E36" s="455">
        <v>3.11</v>
      </c>
      <c r="F36" t="s">
        <v>228</v>
      </c>
      <c r="K36" s="167"/>
    </row>
    <row r="37" spans="1:11">
      <c r="A37" s="454" t="str">
        <f t="shared" si="0"/>
        <v>PC3206-Amrize - ST. Gen-IT(P25)(L6)</v>
      </c>
      <c r="B37" s="454" t="s">
        <v>1935</v>
      </c>
      <c r="C37" s="454" t="s">
        <v>2182</v>
      </c>
      <c r="D37" s="454" t="s">
        <v>1934</v>
      </c>
      <c r="E37" s="455">
        <v>2.85</v>
      </c>
      <c r="F37" t="s">
        <v>1833</v>
      </c>
      <c r="K37" s="167"/>
    </row>
    <row r="38" spans="1:11">
      <c r="A38" s="454" t="str">
        <f t="shared" si="0"/>
        <v>PC3209-Amrize - ST. Gen-IL</v>
      </c>
      <c r="B38" s="454" t="s">
        <v>1077</v>
      </c>
      <c r="C38" s="454" t="s">
        <v>2182</v>
      </c>
      <c r="D38" s="454" t="s">
        <v>1936</v>
      </c>
      <c r="E38" s="455">
        <v>3.11</v>
      </c>
      <c r="F38" t="s">
        <v>228</v>
      </c>
      <c r="K38" s="167"/>
    </row>
    <row r="39" spans="1:11">
      <c r="A39" s="454" t="str">
        <f t="shared" si="0"/>
        <v>PC3216-Amrize - ST. Gen-IT(S30)(P10)</v>
      </c>
      <c r="B39" s="454" t="s">
        <v>2098</v>
      </c>
      <c r="C39" s="454" t="s">
        <v>2182</v>
      </c>
      <c r="D39" s="454" t="s">
        <v>2096</v>
      </c>
      <c r="E39" s="455">
        <v>2.96</v>
      </c>
      <c r="F39" t="s">
        <v>1833</v>
      </c>
      <c r="K39" s="167"/>
    </row>
    <row r="40" spans="1:11">
      <c r="A40" s="454" t="str">
        <f t="shared" si="0"/>
        <v>PC3302-Illinois - LaSalle-I/II</v>
      </c>
      <c r="B40" s="454" t="s">
        <v>1078</v>
      </c>
      <c r="C40" s="454" t="s">
        <v>2183</v>
      </c>
      <c r="D40" s="454" t="s">
        <v>174</v>
      </c>
      <c r="E40" s="455">
        <v>3.14</v>
      </c>
      <c r="F40" t="s">
        <v>228</v>
      </c>
      <c r="K40" s="167"/>
    </row>
    <row r="41" spans="1:11">
      <c r="A41" s="454" t="str">
        <f t="shared" si="0"/>
        <v>PC3409-St Marys - Charlevoix-IL</v>
      </c>
      <c r="B41" s="454" t="s">
        <v>2184</v>
      </c>
      <c r="C41" s="454" t="s">
        <v>1079</v>
      </c>
      <c r="D41" s="454" t="s">
        <v>1936</v>
      </c>
      <c r="E41" s="455">
        <v>3.11</v>
      </c>
      <c r="F41" t="s">
        <v>228</v>
      </c>
      <c r="K41" s="167"/>
    </row>
    <row r="42" spans="1:11">
      <c r="A42" s="454" t="str">
        <f t="shared" si="0"/>
        <v>PC3602-GCC - Samalayuca-I/II</v>
      </c>
      <c r="B42" s="454" t="s">
        <v>1259</v>
      </c>
      <c r="C42" s="454" t="s">
        <v>1260</v>
      </c>
      <c r="D42" s="454" t="s">
        <v>174</v>
      </c>
      <c r="E42" s="455">
        <v>3.14</v>
      </c>
      <c r="F42" t="s">
        <v>228</v>
      </c>
      <c r="K42" s="167"/>
    </row>
    <row r="43" spans="1:11">
      <c r="A43" s="454" t="str">
        <f t="shared" si="0"/>
        <v>PC3603-GCC - Samalayuca-III</v>
      </c>
      <c r="B43" s="454" t="s">
        <v>1261</v>
      </c>
      <c r="C43" s="454" t="s">
        <v>1260</v>
      </c>
      <c r="D43" s="454" t="s">
        <v>195</v>
      </c>
      <c r="E43" s="455">
        <v>3.15</v>
      </c>
      <c r="K43" s="167"/>
    </row>
    <row r="44" spans="1:11">
      <c r="A44" s="454" t="str">
        <f t="shared" si="0"/>
        <v>PC3702-Ozinga-Song Lam JSC-I/II</v>
      </c>
      <c r="B44" s="454" t="s">
        <v>2006</v>
      </c>
      <c r="C44" s="454" t="s">
        <v>2007</v>
      </c>
      <c r="D44" s="454" t="s">
        <v>174</v>
      </c>
      <c r="E44" s="455">
        <v>3.14</v>
      </c>
      <c r="F44" t="s">
        <v>228</v>
      </c>
      <c r="K44" s="167"/>
    </row>
    <row r="45" spans="1:11">
      <c r="A45" s="454" t="str">
        <f t="shared" si="0"/>
        <v>PC3802-Ozinga-Long Son Cement-I/II</v>
      </c>
      <c r="B45" s="454" t="s">
        <v>2099</v>
      </c>
      <c r="C45" s="454" t="s">
        <v>2100</v>
      </c>
      <c r="D45" s="454" t="s">
        <v>174</v>
      </c>
      <c r="E45" s="455">
        <v>3.14</v>
      </c>
      <c r="F45" t="s">
        <v>228</v>
      </c>
      <c r="K45" s="167"/>
    </row>
    <row r="46" spans="1:11">
      <c r="A46" s="454" t="str">
        <f t="shared" si="0"/>
        <v>PC3807-Ozinga-CarbonSense-IS(20)</v>
      </c>
      <c r="B46" s="454" t="s">
        <v>2101</v>
      </c>
      <c r="C46" s="454" t="s">
        <v>2102</v>
      </c>
      <c r="D46" s="454" t="s">
        <v>2094</v>
      </c>
      <c r="E46" s="455">
        <v>3.12</v>
      </c>
      <c r="F46" t="s">
        <v>1833</v>
      </c>
      <c r="K46" s="167"/>
    </row>
    <row r="47" spans="1:11">
      <c r="A47" s="454" t="str">
        <f t="shared" si="0"/>
        <v>PC3909-Kosmos Cement-IL</v>
      </c>
      <c r="B47" s="454" t="s">
        <v>2103</v>
      </c>
      <c r="C47" s="454" t="s">
        <v>2104</v>
      </c>
      <c r="D47" s="454" t="s">
        <v>1936</v>
      </c>
      <c r="E47" s="455">
        <v>3.11</v>
      </c>
      <c r="F47" t="s">
        <v>228</v>
      </c>
      <c r="K47" s="167"/>
    </row>
    <row r="48" spans="1:11">
      <c r="A48" s="454" t="str">
        <f t="shared" si="0"/>
        <v>PC4009-Amrize - Exshaw-IL</v>
      </c>
      <c r="B48" s="454" t="s">
        <v>2185</v>
      </c>
      <c r="C48" s="454" t="s">
        <v>2186</v>
      </c>
      <c r="D48" s="454" t="s">
        <v>1936</v>
      </c>
      <c r="E48" s="455">
        <v>3.11</v>
      </c>
      <c r="F48" t="s">
        <v>228</v>
      </c>
      <c r="K48" s="167"/>
    </row>
    <row r="49" spans="1:11">
      <c r="A49" s="454" t="str">
        <f t="shared" si="0"/>
        <v>PC4109-Heidelberg - Mitchell-IL</v>
      </c>
      <c r="B49" s="454" t="s">
        <v>2187</v>
      </c>
      <c r="C49" s="454" t="s">
        <v>2188</v>
      </c>
      <c r="D49" s="454" t="s">
        <v>1936</v>
      </c>
      <c r="E49" s="455">
        <v>3.11</v>
      </c>
      <c r="F49" t="s">
        <v>228</v>
      </c>
      <c r="K49" s="167"/>
    </row>
    <row r="50" spans="1:11">
      <c r="A50" s="454" t="str">
        <f t="shared" si="0"/>
        <v>PC4209-Heidelberg - Logansport-IL</v>
      </c>
      <c r="B50" s="454" t="s">
        <v>2189</v>
      </c>
      <c r="C50" s="454" t="s">
        <v>2190</v>
      </c>
      <c r="D50" s="454" t="s">
        <v>1936</v>
      </c>
      <c r="E50" s="455">
        <v>3.11</v>
      </c>
      <c r="F50" t="s">
        <v>228</v>
      </c>
      <c r="K50" s="167"/>
    </row>
    <row r="51" spans="1:11">
      <c r="A51" s="454" t="str">
        <f t="shared" ref="A51" si="1">_xlfn.CONCAT(B51, "-", C51, "-",D51)</f>
        <v>PC3909-Kosmos Cement-IL</v>
      </c>
      <c r="B51" s="454" t="s">
        <v>2103</v>
      </c>
      <c r="C51" s="454" t="s">
        <v>2104</v>
      </c>
      <c r="D51" s="454" t="s">
        <v>1936</v>
      </c>
      <c r="E51" s="455">
        <v>3.11</v>
      </c>
      <c r="F51" t="s">
        <v>228</v>
      </c>
      <c r="K51" s="167"/>
    </row>
    <row r="52" spans="1:11">
      <c r="K52" s="167"/>
    </row>
    <row r="53" spans="1:11">
      <c r="K53" s="167"/>
    </row>
    <row r="54" spans="1:11">
      <c r="K54" s="167"/>
    </row>
    <row r="55" spans="1:11">
      <c r="K55" s="167"/>
    </row>
    <row r="56" spans="1:11">
      <c r="K56" s="167"/>
    </row>
    <row r="57" spans="1:11">
      <c r="K57" s="167"/>
    </row>
    <row r="58" spans="1:11">
      <c r="K58" s="167"/>
    </row>
    <row r="59" spans="1:11">
      <c r="K59" s="167"/>
    </row>
    <row r="60" spans="1:11">
      <c r="K60" s="167"/>
    </row>
    <row r="61" spans="1:11">
      <c r="K61" s="167"/>
    </row>
    <row r="62" spans="1:11">
      <c r="K62" s="167"/>
    </row>
    <row r="63" spans="1:11">
      <c r="K63" s="167"/>
    </row>
    <row r="64" spans="1:11">
      <c r="K64" s="167"/>
    </row>
    <row r="65" spans="11:11">
      <c r="K65" s="167"/>
    </row>
  </sheetData>
  <sheetProtection algorithmName="SHA-512" hashValue="qZcUyQeNh9unBz5/C0VbhBquc3km7xcdM71/JL9YtCc107TM+E/7D/jLH3DQ3FPwRuNjfqPAYLb0lWYDeDrdXA==" saltValue="AFoQtTrzCowM5J/saK4EAA==" spinCount="100000" sheet="1" objects="1" scenarios="1"/>
  <mergeCells count="2">
    <mergeCell ref="A1:E2"/>
    <mergeCell ref="M1:Q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E65C-5AF5-4BA2-9955-B9689081207B}">
  <sheetPr codeName="Sheet17"/>
  <dimension ref="A1:E54"/>
  <sheetViews>
    <sheetView workbookViewId="0">
      <selection sqref="A1:E54"/>
    </sheetView>
  </sheetViews>
  <sheetFormatPr defaultRowHeight="15"/>
  <cols>
    <col min="1" max="1" width="40.77734375" bestFit="1" customWidth="1"/>
    <col min="2" max="2" width="6.5546875" bestFit="1" customWidth="1"/>
    <col min="3" max="3" width="35.109375" bestFit="1" customWidth="1"/>
    <col min="4" max="4" width="5.33203125" style="163" customWidth="1"/>
  </cols>
  <sheetData>
    <row r="1" spans="1:5" ht="14.45" customHeight="1">
      <c r="A1" s="721" t="s">
        <v>4</v>
      </c>
      <c r="B1" s="721"/>
      <c r="C1" s="721"/>
      <c r="D1" s="721"/>
      <c r="E1" s="721"/>
    </row>
    <row r="2" spans="1:5" ht="14.45" customHeight="1">
      <c r="A2" s="721"/>
      <c r="B2" s="721"/>
      <c r="C2" s="721"/>
      <c r="D2" s="721"/>
      <c r="E2" s="721"/>
    </row>
    <row r="3" spans="1:5">
      <c r="A3" s="456"/>
      <c r="B3" s="456"/>
      <c r="C3" s="456"/>
      <c r="D3" s="457"/>
      <c r="E3" s="456"/>
    </row>
    <row r="4" spans="1:5" s="605" customFormat="1">
      <c r="A4" s="542" t="str">
        <f t="shared" ref="A4:A54" si="0">_xlfn.CONCAT(B4, "-", C4)</f>
        <v>FA001C-Columbia Generating Station #1, #2 or Comb</v>
      </c>
      <c r="B4" s="542" t="s">
        <v>1081</v>
      </c>
      <c r="C4" s="542" t="s">
        <v>1608</v>
      </c>
      <c r="D4" s="543" t="s">
        <v>1080</v>
      </c>
      <c r="E4" s="544">
        <v>2.75</v>
      </c>
    </row>
    <row r="5" spans="1:5" s="605" customFormat="1">
      <c r="A5" s="542" t="str">
        <f>_xlfn.CONCAT(B5, "-", C5)</f>
        <v>FA003F-Coal Creek Power Plant</v>
      </c>
      <c r="B5" s="542" t="s">
        <v>1768</v>
      </c>
      <c r="C5" s="542" t="s">
        <v>1082</v>
      </c>
      <c r="D5" s="543" t="s">
        <v>1104</v>
      </c>
      <c r="E5" s="544">
        <v>2.48</v>
      </c>
    </row>
    <row r="6" spans="1:5" s="605" customFormat="1">
      <c r="A6" s="542" t="str">
        <f>_xlfn.CONCAT(B6, "-", C6)</f>
        <v>FA003F3-Coal Creek Micron 3</v>
      </c>
      <c r="B6" s="542" t="s">
        <v>2191</v>
      </c>
      <c r="C6" s="542" t="s">
        <v>1769</v>
      </c>
      <c r="D6" s="543" t="s">
        <v>1104</v>
      </c>
      <c r="E6" s="544">
        <v>2.63</v>
      </c>
    </row>
    <row r="7" spans="1:5" s="605" customFormat="1">
      <c r="A7" s="542" t="str">
        <f t="shared" si="0"/>
        <v>FA004C-Council Bluffs Unit #3</v>
      </c>
      <c r="B7" s="542" t="s">
        <v>1084</v>
      </c>
      <c r="C7" s="542" t="s">
        <v>1085</v>
      </c>
      <c r="D7" s="543" t="s">
        <v>1080</v>
      </c>
      <c r="E7" s="544">
        <v>2.62</v>
      </c>
    </row>
    <row r="8" spans="1:5" s="605" customFormat="1">
      <c r="A8" s="542" t="str">
        <f t="shared" si="0"/>
        <v xml:space="preserve">FA005C-Iatan Generating Station, Unit #2 </v>
      </c>
      <c r="B8" s="542" t="s">
        <v>1086</v>
      </c>
      <c r="C8" s="542" t="s">
        <v>1087</v>
      </c>
      <c r="D8" s="543" t="s">
        <v>1080</v>
      </c>
      <c r="E8" s="544">
        <v>2.68</v>
      </c>
    </row>
    <row r="9" spans="1:5" s="605" customFormat="1">
      <c r="A9" s="542" t="str">
        <f t="shared" si="0"/>
        <v>FA007C-Iatan Generating Station, Unit #1</v>
      </c>
      <c r="B9" s="542" t="s">
        <v>1088</v>
      </c>
      <c r="C9" s="542" t="s">
        <v>1089</v>
      </c>
      <c r="D9" s="543" t="s">
        <v>1080</v>
      </c>
      <c r="E9" s="544">
        <v>2.78</v>
      </c>
    </row>
    <row r="10" spans="1:5" s="605" customFormat="1">
      <c r="A10" s="542" t="str">
        <f t="shared" si="0"/>
        <v>FA009C-Louisa Generating Station</v>
      </c>
      <c r="B10" s="542" t="s">
        <v>1090</v>
      </c>
      <c r="C10" s="542" t="s">
        <v>1091</v>
      </c>
      <c r="D10" s="543" t="s">
        <v>1080</v>
      </c>
      <c r="E10" s="544">
        <v>2.69</v>
      </c>
    </row>
    <row r="11" spans="1:5" s="605" customFormat="1">
      <c r="A11" s="542" t="str">
        <f t="shared" si="0"/>
        <v>FA010C-Muscatine Power &amp; Water</v>
      </c>
      <c r="B11" s="542" t="s">
        <v>1092</v>
      </c>
      <c r="C11" s="542" t="s">
        <v>1093</v>
      </c>
      <c r="D11" s="543" t="s">
        <v>1080</v>
      </c>
      <c r="E11" s="544">
        <v>2.76</v>
      </c>
    </row>
    <row r="12" spans="1:5" s="605" customFormat="1">
      <c r="A12" s="542" t="str">
        <f t="shared" si="0"/>
        <v>FA011C-Nebraska City Station</v>
      </c>
      <c r="B12" s="542" t="s">
        <v>1094</v>
      </c>
      <c r="C12" s="542" t="s">
        <v>1095</v>
      </c>
      <c r="D12" s="543" t="s">
        <v>1080</v>
      </c>
      <c r="E12" s="544">
        <v>2.73</v>
      </c>
    </row>
    <row r="13" spans="1:5" s="605" customFormat="1">
      <c r="A13" s="542" t="str">
        <f t="shared" si="0"/>
        <v>FA012C-North Omaha Generating Station</v>
      </c>
      <c r="B13" s="542" t="s">
        <v>1096</v>
      </c>
      <c r="C13" s="542" t="s">
        <v>1097</v>
      </c>
      <c r="D13" s="543" t="s">
        <v>1080</v>
      </c>
      <c r="E13" s="544">
        <v>2.68</v>
      </c>
    </row>
    <row r="14" spans="1:5" s="605" customFormat="1">
      <c r="A14" s="542" t="str">
        <f t="shared" si="0"/>
        <v>FA013C-Ottumwa Generating Station</v>
      </c>
      <c r="B14" s="542" t="s">
        <v>1098</v>
      </c>
      <c r="C14" s="542" t="s">
        <v>1099</v>
      </c>
      <c r="D14" s="543" t="s">
        <v>1080</v>
      </c>
      <c r="E14" s="544">
        <v>2.75</v>
      </c>
    </row>
    <row r="15" spans="1:5" s="605" customFormat="1">
      <c r="A15" s="542" t="str">
        <f t="shared" si="0"/>
        <v>FA015C-Port Neal Power Plant #3, #4 or Combined</v>
      </c>
      <c r="B15" s="542" t="s">
        <v>1100</v>
      </c>
      <c r="C15" s="542" t="s">
        <v>1101</v>
      </c>
      <c r="D15" s="543" t="s">
        <v>1080</v>
      </c>
      <c r="E15" s="544">
        <v>2.66</v>
      </c>
    </row>
    <row r="16" spans="1:5" s="605" customFormat="1">
      <c r="A16" s="542" t="str">
        <f t="shared" si="0"/>
        <v>FA017F-Joliet Generating Station</v>
      </c>
      <c r="B16" s="542" t="s">
        <v>1102</v>
      </c>
      <c r="C16" s="542" t="s">
        <v>1103</v>
      </c>
      <c r="D16" s="543" t="s">
        <v>1104</v>
      </c>
      <c r="E16" s="544">
        <v>2.54</v>
      </c>
    </row>
    <row r="17" spans="1:5" s="605" customFormat="1">
      <c r="A17" s="542" t="str">
        <f t="shared" si="0"/>
        <v>FA018C-M.L. Kapp Generating Station</v>
      </c>
      <c r="B17" s="542" t="s">
        <v>1105</v>
      </c>
      <c r="C17" s="542" t="s">
        <v>1106</v>
      </c>
      <c r="D17" s="543" t="s">
        <v>1080</v>
      </c>
      <c r="E17" s="544">
        <v>2.73</v>
      </c>
    </row>
    <row r="18" spans="1:5" s="605" customFormat="1">
      <c r="A18" s="542" t="str">
        <f t="shared" si="0"/>
        <v>FA020C-Edgewater Unit #5 Generating Station</v>
      </c>
      <c r="B18" s="542" t="s">
        <v>1107</v>
      </c>
      <c r="C18" s="542" t="s">
        <v>1108</v>
      </c>
      <c r="D18" s="543" t="s">
        <v>1080</v>
      </c>
      <c r="E18" s="544">
        <v>2.78</v>
      </c>
    </row>
    <row r="19" spans="1:5" s="605" customFormat="1">
      <c r="A19" s="542" t="str">
        <f t="shared" si="0"/>
        <v>FA022C-Labadie Power Plant Labadie</v>
      </c>
      <c r="B19" s="542" t="s">
        <v>1109</v>
      </c>
      <c r="C19" s="542" t="s">
        <v>1110</v>
      </c>
      <c r="D19" s="543" t="s">
        <v>1080</v>
      </c>
      <c r="E19" s="544">
        <v>2.73</v>
      </c>
    </row>
    <row r="20" spans="1:5" s="605" customFormat="1">
      <c r="A20" s="542" t="str">
        <f t="shared" si="0"/>
        <v>FA025C-Thomas Hill Energy Center</v>
      </c>
      <c r="B20" s="542" t="s">
        <v>1111</v>
      </c>
      <c r="C20" s="542" t="s">
        <v>1112</v>
      </c>
      <c r="D20" s="543" t="s">
        <v>1080</v>
      </c>
      <c r="E20" s="544">
        <v>2.7</v>
      </c>
    </row>
    <row r="21" spans="1:5" s="605" customFormat="1">
      <c r="A21" s="542" t="str">
        <f t="shared" si="0"/>
        <v>FA026C-Weston Generating Station</v>
      </c>
      <c r="B21" s="542" t="s">
        <v>1113</v>
      </c>
      <c r="C21" s="542" t="s">
        <v>1114</v>
      </c>
      <c r="D21" s="543" t="s">
        <v>1080</v>
      </c>
      <c r="E21" s="544">
        <v>2.64</v>
      </c>
    </row>
    <row r="22" spans="1:5" s="605" customFormat="1">
      <c r="A22" s="542" t="str">
        <f t="shared" si="0"/>
        <v>FA028C-Gerald Gentleman Station, Unit #1</v>
      </c>
      <c r="B22" s="542" t="s">
        <v>1115</v>
      </c>
      <c r="C22" s="542" t="s">
        <v>1116</v>
      </c>
      <c r="D22" s="543" t="s">
        <v>1080</v>
      </c>
      <c r="E22" s="544">
        <v>2.67</v>
      </c>
    </row>
    <row r="23" spans="1:5" s="605" customFormat="1">
      <c r="A23" s="542" t="str">
        <f t="shared" si="0"/>
        <v>FA032C-J.P. Madgett Station, Dairyland, Poz AC</v>
      </c>
      <c r="B23" s="542" t="s">
        <v>1117</v>
      </c>
      <c r="C23" s="542" t="s">
        <v>1118</v>
      </c>
      <c r="D23" s="543" t="s">
        <v>1080</v>
      </c>
      <c r="E23" s="544">
        <v>2.7</v>
      </c>
    </row>
    <row r="24" spans="1:5" s="605" customFormat="1">
      <c r="A24" s="542" t="str">
        <f t="shared" si="0"/>
        <v>FA033C-Northeastern Generating Station</v>
      </c>
      <c r="B24" s="542" t="s">
        <v>1119</v>
      </c>
      <c r="C24" s="542" t="s">
        <v>1120</v>
      </c>
      <c r="D24" s="543" t="s">
        <v>1080</v>
      </c>
      <c r="E24" s="544">
        <v>2.68</v>
      </c>
    </row>
    <row r="25" spans="1:5" s="605" customFormat="1">
      <c r="A25" s="542" t="str">
        <f t="shared" si="0"/>
        <v>FA034C-Genoa Power Station #3, Dairyland</v>
      </c>
      <c r="B25" s="542" t="s">
        <v>1121</v>
      </c>
      <c r="C25" s="542" t="s">
        <v>1122</v>
      </c>
      <c r="D25" s="543" t="s">
        <v>1080</v>
      </c>
      <c r="E25" s="544">
        <v>2.7</v>
      </c>
    </row>
    <row r="26" spans="1:5" s="605" customFormat="1">
      <c r="A26" s="542" t="str">
        <f t="shared" si="0"/>
        <v>FA035C-La Cygne Station Power Plant, Unit #2</v>
      </c>
      <c r="B26" s="542" t="s">
        <v>1123</v>
      </c>
      <c r="C26" s="542" t="s">
        <v>1124</v>
      </c>
      <c r="D26" s="543" t="s">
        <v>1080</v>
      </c>
      <c r="E26" s="544">
        <v>2.64</v>
      </c>
    </row>
    <row r="27" spans="1:5" s="605" customFormat="1">
      <c r="A27" s="542" t="str">
        <f t="shared" si="0"/>
        <v>FA036C-Montrose Station Power Plant, Unit #3</v>
      </c>
      <c r="B27" s="542" t="s">
        <v>1125</v>
      </c>
      <c r="C27" s="542" t="s">
        <v>1126</v>
      </c>
      <c r="D27" s="543" t="s">
        <v>1080</v>
      </c>
      <c r="E27" s="544">
        <v>2.67</v>
      </c>
    </row>
    <row r="28" spans="1:5" s="605" customFormat="1">
      <c r="A28" s="542" t="str">
        <f t="shared" si="0"/>
        <v>FA037C-Elm Road Generating Station Combined</v>
      </c>
      <c r="B28" s="542" t="s">
        <v>1127</v>
      </c>
      <c r="C28" s="542" t="s">
        <v>1128</v>
      </c>
      <c r="D28" s="543" t="s">
        <v>1080</v>
      </c>
      <c r="E28" s="544">
        <v>2.7</v>
      </c>
    </row>
    <row r="29" spans="1:5" s="605" customFormat="1">
      <c r="A29" s="542" t="str">
        <f t="shared" si="0"/>
        <v>FA038F-Petersburg Generating Station, Unit #3</v>
      </c>
      <c r="B29" s="542" t="s">
        <v>1129</v>
      </c>
      <c r="C29" s="542" t="s">
        <v>1130</v>
      </c>
      <c r="D29" s="543" t="s">
        <v>1104</v>
      </c>
      <c r="E29" s="544">
        <v>2.52</v>
      </c>
    </row>
    <row r="30" spans="1:5" s="605" customFormat="1">
      <c r="A30" s="542" t="str">
        <f t="shared" si="0"/>
        <v>FA039C-Clay Boswell Generating Station, Unit #3</v>
      </c>
      <c r="B30" s="542" t="s">
        <v>1131</v>
      </c>
      <c r="C30" s="542" t="s">
        <v>1132</v>
      </c>
      <c r="D30" s="543" t="s">
        <v>1080</v>
      </c>
      <c r="E30" s="544">
        <v>2.61</v>
      </c>
    </row>
    <row r="31" spans="1:5" s="605" customFormat="1">
      <c r="A31" s="542" t="str">
        <f t="shared" si="0"/>
        <v>FA041C-Prairie Creek Generating Station, Unit #3</v>
      </c>
      <c r="B31" s="542" t="s">
        <v>1133</v>
      </c>
      <c r="C31" s="542" t="s">
        <v>1134</v>
      </c>
      <c r="D31" s="543" t="s">
        <v>1080</v>
      </c>
      <c r="E31" s="544">
        <v>2.8</v>
      </c>
    </row>
    <row r="32" spans="1:5" s="605" customFormat="1">
      <c r="A32" s="542" t="str">
        <f t="shared" si="0"/>
        <v>FA042C-Muskogee Generating Station</v>
      </c>
      <c r="B32" s="542" t="s">
        <v>1135</v>
      </c>
      <c r="C32" s="542" t="s">
        <v>1136</v>
      </c>
      <c r="D32" s="543" t="s">
        <v>1080</v>
      </c>
      <c r="E32" s="544">
        <v>2.69</v>
      </c>
    </row>
    <row r="33" spans="1:5" s="605" customFormat="1">
      <c r="A33" s="542" t="str">
        <f t="shared" si="0"/>
        <v>FA043F-Durapoz F</v>
      </c>
      <c r="B33" s="542" t="s">
        <v>1137</v>
      </c>
      <c r="C33" s="542" t="s">
        <v>1138</v>
      </c>
      <c r="D33" s="543" t="s">
        <v>1104</v>
      </c>
      <c r="E33" s="544">
        <v>2.5499999999999998</v>
      </c>
    </row>
    <row r="34" spans="1:5" s="605" customFormat="1">
      <c r="A34" s="542" t="str">
        <f t="shared" si="0"/>
        <v>FA044C-Dynegy Newton Power Station</v>
      </c>
      <c r="B34" s="542" t="s">
        <v>1139</v>
      </c>
      <c r="C34" s="542" t="s">
        <v>1140</v>
      </c>
      <c r="D34" s="543" t="s">
        <v>1080</v>
      </c>
      <c r="E34" s="544">
        <v>2.66</v>
      </c>
    </row>
    <row r="35" spans="1:5" s="605" customFormat="1">
      <c r="A35" s="542" t="str">
        <f t="shared" si="0"/>
        <v>FA045C-Oak Creek Power Station</v>
      </c>
      <c r="B35" s="542" t="s">
        <v>1141</v>
      </c>
      <c r="C35" s="542" t="s">
        <v>1142</v>
      </c>
      <c r="D35" s="543" t="s">
        <v>1080</v>
      </c>
      <c r="E35" s="544">
        <v>2.7</v>
      </c>
    </row>
    <row r="36" spans="1:5" s="605" customFormat="1">
      <c r="A36" s="542" t="str">
        <f t="shared" si="0"/>
        <v>FA046F-Praire State Generating Station</v>
      </c>
      <c r="B36" s="542" t="s">
        <v>1143</v>
      </c>
      <c r="C36" s="542" t="s">
        <v>1144</v>
      </c>
      <c r="D36" s="543" t="s">
        <v>1104</v>
      </c>
      <c r="E36" s="544">
        <v>2.42</v>
      </c>
    </row>
    <row r="37" spans="1:5" s="605" customFormat="1">
      <c r="A37" s="542" t="str">
        <f t="shared" si="0"/>
        <v>FA050C-Duck Creek Power Station</v>
      </c>
      <c r="B37" s="542" t="s">
        <v>1609</v>
      </c>
      <c r="C37" s="542" t="s">
        <v>1610</v>
      </c>
      <c r="D37" s="543" t="s">
        <v>1080</v>
      </c>
      <c r="E37" s="544">
        <v>2.71</v>
      </c>
    </row>
    <row r="38" spans="1:5" s="605" customFormat="1">
      <c r="A38" s="542" t="str">
        <f t="shared" si="0"/>
        <v>FA051C-North Shore Station</v>
      </c>
      <c r="B38" s="542" t="s">
        <v>1611</v>
      </c>
      <c r="C38" s="542" t="s">
        <v>1612</v>
      </c>
      <c r="D38" s="543" t="s">
        <v>1080</v>
      </c>
      <c r="E38" s="544">
        <v>2.7</v>
      </c>
    </row>
    <row r="39" spans="1:5" s="605" customFormat="1">
      <c r="A39" s="542" t="str">
        <f t="shared" si="0"/>
        <v>FA052C-Whelan Hastings Generation Plant</v>
      </c>
      <c r="B39" s="542" t="s">
        <v>1613</v>
      </c>
      <c r="C39" s="542" t="s">
        <v>2192</v>
      </c>
      <c r="D39" s="543" t="s">
        <v>1080</v>
      </c>
      <c r="E39" s="544">
        <v>2.74</v>
      </c>
    </row>
    <row r="40" spans="1:5" s="605" customFormat="1">
      <c r="A40" s="542" t="str">
        <f t="shared" si="0"/>
        <v>FA053C-Leland Olds Station, Unit 1</v>
      </c>
      <c r="B40" s="542" t="s">
        <v>1614</v>
      </c>
      <c r="C40" s="542" t="s">
        <v>1615</v>
      </c>
      <c r="D40" s="543" t="s">
        <v>1080</v>
      </c>
      <c r="E40" s="544">
        <v>2.78</v>
      </c>
    </row>
    <row r="41" spans="1:5" s="605" customFormat="1">
      <c r="A41" s="542" t="str">
        <f t="shared" si="0"/>
        <v>FA054F-P2P PSGC/Louisa Blend</v>
      </c>
      <c r="B41" s="542" t="s">
        <v>1616</v>
      </c>
      <c r="C41" s="542" t="s">
        <v>1617</v>
      </c>
      <c r="D41" s="543" t="s">
        <v>1104</v>
      </c>
      <c r="E41" s="544">
        <v>2.46</v>
      </c>
    </row>
    <row r="42" spans="1:5" s="605" customFormat="1">
      <c r="A42" s="542" t="str">
        <f t="shared" si="0"/>
        <v>FA055F-CarbonSense CWLP F Ash</v>
      </c>
      <c r="B42" s="542" t="s">
        <v>1770</v>
      </c>
      <c r="C42" s="542" t="s">
        <v>1913</v>
      </c>
      <c r="D42" s="543" t="s">
        <v>1104</v>
      </c>
      <c r="E42" s="544">
        <v>2.46</v>
      </c>
    </row>
    <row r="43" spans="1:5" s="605" customFormat="1">
      <c r="A43" s="542" t="str">
        <f t="shared" si="0"/>
        <v xml:space="preserve">FA056C-Jeffery Energy Center </v>
      </c>
      <c r="B43" s="542" t="s">
        <v>1771</v>
      </c>
      <c r="C43" s="542" t="s">
        <v>1772</v>
      </c>
      <c r="D43" s="543" t="s">
        <v>1080</v>
      </c>
      <c r="E43" s="544">
        <v>2.9</v>
      </c>
    </row>
    <row r="44" spans="1:5" s="605" customFormat="1">
      <c r="A44" s="542" t="str">
        <f t="shared" si="0"/>
        <v>FA057C-Platte Generating Station</v>
      </c>
      <c r="B44" s="542" t="s">
        <v>1773</v>
      </c>
      <c r="C44" s="542" t="s">
        <v>1774</v>
      </c>
      <c r="D44" s="543" t="s">
        <v>1080</v>
      </c>
      <c r="E44" s="544">
        <v>2.59</v>
      </c>
    </row>
    <row r="45" spans="1:5" s="605" customFormat="1">
      <c r="A45" s="542" t="str">
        <f t="shared" si="0"/>
        <v>FA058F-Cumberland Power Station</v>
      </c>
      <c r="B45" s="542" t="s">
        <v>1914</v>
      </c>
      <c r="C45" s="542" t="s">
        <v>1915</v>
      </c>
      <c r="D45" s="543" t="s">
        <v>1104</v>
      </c>
      <c r="E45" s="544">
        <v>2.5</v>
      </c>
    </row>
    <row r="46" spans="1:5" s="605" customFormat="1">
      <c r="A46" s="542" t="str">
        <f t="shared" si="0"/>
        <v>FA059C-Limestone Plant</v>
      </c>
      <c r="B46" s="542" t="s">
        <v>1999</v>
      </c>
      <c r="C46" s="542" t="s">
        <v>2000</v>
      </c>
      <c r="D46" s="543" t="s">
        <v>1080</v>
      </c>
      <c r="E46" s="544">
        <v>2.69</v>
      </c>
    </row>
    <row r="47" spans="1:5" s="605" customFormat="1">
      <c r="A47" s="542" t="str">
        <f t="shared" si="0"/>
        <v>FA060F-Oak Grove Pozzolan</v>
      </c>
      <c r="B47" s="542" t="s">
        <v>2001</v>
      </c>
      <c r="C47" s="542" t="s">
        <v>2002</v>
      </c>
      <c r="D47" s="543" t="s">
        <v>1104</v>
      </c>
      <c r="E47" s="544">
        <v>2.42</v>
      </c>
    </row>
    <row r="48" spans="1:5" s="605" customFormat="1">
      <c r="A48" s="542" t="str">
        <f t="shared" si="0"/>
        <v>FA061C-Lawrence Power Plant</v>
      </c>
      <c r="B48" s="542" t="s">
        <v>2105</v>
      </c>
      <c r="C48" s="542" t="s">
        <v>2106</v>
      </c>
      <c r="D48" s="543" t="s">
        <v>1080</v>
      </c>
      <c r="E48" s="544">
        <v>2.67</v>
      </c>
    </row>
    <row r="49" spans="1:5" s="605" customFormat="1">
      <c r="A49" s="542" t="str">
        <f t="shared" si="0"/>
        <v>FA137F-Elm Road Generating Station Unit #1</v>
      </c>
      <c r="B49" s="542" t="s">
        <v>1145</v>
      </c>
      <c r="C49" s="542" t="s">
        <v>1146</v>
      </c>
      <c r="D49" s="543" t="s">
        <v>1104</v>
      </c>
      <c r="E49" s="544">
        <v>2.68</v>
      </c>
    </row>
    <row r="50" spans="1:5" s="605" customFormat="1">
      <c r="A50" s="542" t="str">
        <f t="shared" si="0"/>
        <v>FA223C-CarbonSense C Ash</v>
      </c>
      <c r="B50" s="542" t="s">
        <v>1775</v>
      </c>
      <c r="C50" s="542" t="s">
        <v>1916</v>
      </c>
      <c r="D50" s="543" t="s">
        <v>1080</v>
      </c>
      <c r="E50" s="544">
        <v>2.79</v>
      </c>
    </row>
    <row r="51" spans="1:5" s="605" customFormat="1">
      <c r="A51" s="542" t="str">
        <f t="shared" si="0"/>
        <v>FA237F-Elm Road Generating Station Unit #2</v>
      </c>
      <c r="B51" s="542" t="s">
        <v>1147</v>
      </c>
      <c r="C51" s="542" t="s">
        <v>1148</v>
      </c>
      <c r="D51" s="543" t="s">
        <v>1104</v>
      </c>
      <c r="E51" s="544">
        <v>2.67</v>
      </c>
    </row>
    <row r="52" spans="1:5" s="605" customFormat="1">
      <c r="A52" s="542" t="str">
        <f t="shared" si="0"/>
        <v>FA249C-Edwards Power Station, Unit#2</v>
      </c>
      <c r="B52" s="542" t="s">
        <v>1618</v>
      </c>
      <c r="C52" s="542" t="s">
        <v>1619</v>
      </c>
      <c r="D52" s="543" t="s">
        <v>1080</v>
      </c>
      <c r="E52" s="544">
        <v>2.71</v>
      </c>
    </row>
    <row r="53" spans="1:5" s="605" customFormat="1">
      <c r="A53" s="542" t="str">
        <f t="shared" si="0"/>
        <v>FA323F-CarbonSense F Ash</v>
      </c>
      <c r="B53" s="542" t="s">
        <v>1776</v>
      </c>
      <c r="C53" s="542" t="s">
        <v>1917</v>
      </c>
      <c r="D53" s="543" t="s">
        <v>1104</v>
      </c>
      <c r="E53" s="544">
        <v>2.6</v>
      </c>
    </row>
    <row r="54" spans="1:5" s="605" customFormat="1">
      <c r="A54" s="542" t="str">
        <f t="shared" si="0"/>
        <v>FA349C-Edwards Power Station, Unit#3</v>
      </c>
      <c r="B54" s="542" t="s">
        <v>1620</v>
      </c>
      <c r="C54" s="542" t="s">
        <v>1621</v>
      </c>
      <c r="D54" s="543" t="s">
        <v>1080</v>
      </c>
      <c r="E54" s="544">
        <v>2.72</v>
      </c>
    </row>
  </sheetData>
  <sheetProtection algorithmName="SHA-512" hashValue="W50f6AGUWahpWxsHzJRDZvfGyYIUrP/DIFweK3fePMw16Pcxy2FCgVJfz67aJiEK73A3bN/zl1Aioj6HJtBwvQ==" saltValue="mIFenj3r5uDixSGiDeCsXQ==" spinCount="100000" sheet="1" objects="1" scenarios="1"/>
  <mergeCells count="1">
    <mergeCell ref="A1:E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43E8-5BBF-40C8-9777-2B55454B3E8B}">
  <sheetPr codeName="Sheet18"/>
  <dimension ref="A1:E10"/>
  <sheetViews>
    <sheetView workbookViewId="0">
      <selection sqref="A1:E7"/>
    </sheetView>
  </sheetViews>
  <sheetFormatPr defaultRowHeight="15"/>
  <cols>
    <col min="1" max="1" width="27.5546875" bestFit="1" customWidth="1"/>
    <col min="2" max="2" width="6.21875" bestFit="1" customWidth="1"/>
    <col min="3" max="3" width="21.44140625" bestFit="1" customWidth="1"/>
    <col min="4" max="4" width="4.88671875" bestFit="1" customWidth="1"/>
    <col min="5" max="5" width="4.44140625" bestFit="1" customWidth="1"/>
  </cols>
  <sheetData>
    <row r="1" spans="1:5" ht="15" customHeight="1">
      <c r="A1" s="722" t="s">
        <v>146</v>
      </c>
      <c r="B1" s="722"/>
      <c r="C1" s="722"/>
      <c r="D1" s="722"/>
      <c r="E1" s="722"/>
    </row>
    <row r="2" spans="1:5" ht="15" customHeight="1">
      <c r="A2" s="722"/>
      <c r="B2" s="722"/>
      <c r="C2" s="722"/>
      <c r="D2" s="722"/>
      <c r="E2" s="722"/>
    </row>
    <row r="3" spans="1:5">
      <c r="A3" s="458"/>
      <c r="B3" s="458"/>
      <c r="C3" s="458"/>
      <c r="D3" s="458"/>
      <c r="E3" s="458"/>
    </row>
    <row r="4" spans="1:5">
      <c r="A4" s="458" t="str">
        <f>_xlfn.CONCAT(B4, "-", C4)</f>
        <v>SL00A-Skyway Cement</v>
      </c>
      <c r="B4" s="458" t="s">
        <v>1151</v>
      </c>
      <c r="C4" s="458" t="s">
        <v>1152</v>
      </c>
      <c r="D4" s="459">
        <v>2.87</v>
      </c>
      <c r="E4" s="458">
        <v>100</v>
      </c>
    </row>
    <row r="5" spans="1:5">
      <c r="A5" s="458" t="str">
        <f>_xlfn.CONCAT(B5, "-", C5)</f>
        <v>SL02A-NewCem</v>
      </c>
      <c r="B5" s="458" t="s">
        <v>1149</v>
      </c>
      <c r="C5" s="458" t="s">
        <v>1150</v>
      </c>
      <c r="D5" s="459">
        <v>2.93</v>
      </c>
      <c r="E5" s="458">
        <v>100</v>
      </c>
    </row>
    <row r="6" spans="1:5">
      <c r="A6" s="458" t="str">
        <f>_xlfn.CONCAT(B6, "-", C6)</f>
        <v>SL05A-Carbon Smart Grade 100</v>
      </c>
      <c r="B6" s="458" t="s">
        <v>1777</v>
      </c>
      <c r="C6" s="458" t="s">
        <v>1778</v>
      </c>
      <c r="D6" s="459">
        <v>2.95</v>
      </c>
      <c r="E6" s="458">
        <v>100</v>
      </c>
    </row>
    <row r="7" spans="1:5">
      <c r="A7" s="458" t="str">
        <f>_xlfn.CONCAT(B7, "-", C7)</f>
        <v>SL06A-Heidelberg Speed Plant</v>
      </c>
      <c r="B7" s="458" t="s">
        <v>2107</v>
      </c>
      <c r="C7" s="458" t="s">
        <v>2108</v>
      </c>
      <c r="D7" s="459">
        <v>2.87</v>
      </c>
      <c r="E7" s="458">
        <v>100</v>
      </c>
    </row>
    <row r="10" spans="1:5">
      <c r="D10" s="167"/>
    </row>
  </sheetData>
  <sheetProtection algorithmName="SHA-512" hashValue="WOj3SE36/Ju8zaEuQoKinOKWULBi1qiK/Rrzu6CRBe6S7DiAt9OpQZogotrph7TNjPAgW9EEfP4XKlfWaSlW5Q==" saltValue="3TxQ3b3eBUQ6QCHP+d5BwA==" spinCount="100000" sheet="1" objects="1" scenarios="1"/>
  <mergeCells count="1">
    <mergeCell ref="A1:E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806D4-2F34-4DBF-B0E7-E0389B649E3A}">
  <sheetPr codeName="Sheet19"/>
  <dimension ref="A1:C43"/>
  <sheetViews>
    <sheetView workbookViewId="0">
      <selection sqref="A1:C43"/>
    </sheetView>
  </sheetViews>
  <sheetFormatPr defaultRowHeight="15"/>
  <cols>
    <col min="1" max="1" width="32.21875" bestFit="1" customWidth="1"/>
    <col min="2" max="2" width="15.6640625" bestFit="1" customWidth="1"/>
    <col min="3" max="3" width="20" bestFit="1" customWidth="1"/>
  </cols>
  <sheetData>
    <row r="1" spans="1:3" ht="15" customHeight="1">
      <c r="A1" s="723" t="s">
        <v>1622</v>
      </c>
      <c r="B1" s="723"/>
      <c r="C1" s="723"/>
    </row>
    <row r="2" spans="1:3" ht="15" customHeight="1">
      <c r="A2" s="723"/>
      <c r="B2" s="723"/>
      <c r="C2" s="723"/>
    </row>
    <row r="3" spans="1:3">
      <c r="A3" s="173"/>
      <c r="B3" s="173"/>
      <c r="C3" s="173"/>
    </row>
    <row r="4" spans="1:3">
      <c r="A4" s="460" t="str">
        <f>_xlfn.CONCAT(B4, "-", C4)</f>
        <v>Air Plus-Fritz-Pak</v>
      </c>
      <c r="B4" s="460" t="s">
        <v>1262</v>
      </c>
      <c r="C4" s="174" t="s">
        <v>1263</v>
      </c>
    </row>
    <row r="5" spans="1:3">
      <c r="A5" s="460" t="str">
        <f t="shared" ref="A5:A43" si="0">_xlfn.CONCAT(B5, "-", C5)</f>
        <v>Airalon 3000-CHRYSO Inc</v>
      </c>
      <c r="B5" s="460" t="s">
        <v>1264</v>
      </c>
      <c r="C5" s="175" t="s">
        <v>1267</v>
      </c>
    </row>
    <row r="6" spans="1:3">
      <c r="A6" s="460" t="str">
        <f t="shared" si="0"/>
        <v>Airalon 7000-CHRYSO Inc</v>
      </c>
      <c r="B6" s="460" t="s">
        <v>1265</v>
      </c>
      <c r="C6" s="175" t="s">
        <v>1267</v>
      </c>
    </row>
    <row r="7" spans="1:3">
      <c r="A7" s="460" t="str">
        <f t="shared" si="0"/>
        <v>Chryso Air 260-CHRYSO Inc</v>
      </c>
      <c r="B7" s="460" t="s">
        <v>1266</v>
      </c>
      <c r="C7" s="175" t="s">
        <v>1267</v>
      </c>
    </row>
    <row r="8" spans="1:3">
      <c r="A8" s="460" t="str">
        <f t="shared" si="0"/>
        <v>ConAir 260-Premiere Admix.</v>
      </c>
      <c r="B8" s="460" t="s">
        <v>1268</v>
      </c>
      <c r="C8" s="174" t="s">
        <v>1269</v>
      </c>
    </row>
    <row r="9" spans="1:3">
      <c r="A9" s="460" t="str">
        <f t="shared" si="0"/>
        <v>ConAir X-Premiere Admix.</v>
      </c>
      <c r="B9" s="460" t="s">
        <v>1270</v>
      </c>
      <c r="C9" s="175" t="s">
        <v>1269</v>
      </c>
    </row>
    <row r="10" spans="1:3">
      <c r="A10" s="460" t="str">
        <f t="shared" si="0"/>
        <v>DNF 842-DarCole Products, Inc</v>
      </c>
      <c r="B10" s="460" t="s">
        <v>1957</v>
      </c>
      <c r="C10" s="175" t="s">
        <v>1810</v>
      </c>
    </row>
    <row r="11" spans="1:3">
      <c r="A11" s="460" t="str">
        <f t="shared" si="0"/>
        <v>DSA 110-DarCole Products, Inc</v>
      </c>
      <c r="B11" s="460" t="s">
        <v>1809</v>
      </c>
      <c r="C11" s="175" t="s">
        <v>1810</v>
      </c>
    </row>
    <row r="12" spans="1:3">
      <c r="A12" s="460" t="str">
        <f t="shared" si="0"/>
        <v>DSA 112-DarCole Products, Inc</v>
      </c>
      <c r="B12" s="460" t="s">
        <v>2193</v>
      </c>
      <c r="C12" s="175" t="s">
        <v>1810</v>
      </c>
    </row>
    <row r="13" spans="1:3">
      <c r="A13" s="460" t="str">
        <f t="shared" si="0"/>
        <v>Daravair 1000-CHRYSO Inc</v>
      </c>
      <c r="B13" s="460" t="s">
        <v>1271</v>
      </c>
      <c r="C13" s="175" t="s">
        <v>1267</v>
      </c>
    </row>
    <row r="14" spans="1:3">
      <c r="A14" s="460" t="str">
        <f t="shared" si="0"/>
        <v>Daravair 1400-CHRYSO Inc</v>
      </c>
      <c r="B14" s="460" t="s">
        <v>1272</v>
      </c>
      <c r="C14" s="175" t="s">
        <v>1267</v>
      </c>
    </row>
    <row r="15" spans="1:3">
      <c r="A15" s="460" t="str">
        <f t="shared" si="0"/>
        <v>Daravair AT 30-CHRYSO Inc</v>
      </c>
      <c r="B15" s="460" t="s">
        <v>1273</v>
      </c>
      <c r="C15" s="175" t="s">
        <v>1267</v>
      </c>
    </row>
    <row r="16" spans="1:3">
      <c r="A16" s="460" t="str">
        <f t="shared" si="0"/>
        <v>Daravair AT 60-CHRYSO Inc</v>
      </c>
      <c r="B16" s="460" t="s">
        <v>1274</v>
      </c>
      <c r="C16" s="175" t="s">
        <v>1267</v>
      </c>
    </row>
    <row r="17" spans="1:3">
      <c r="A17" s="460" t="str">
        <f t="shared" si="0"/>
        <v>Daravair M-CHRYSO Inc</v>
      </c>
      <c r="B17" s="460" t="s">
        <v>1275</v>
      </c>
      <c r="C17" s="175" t="s">
        <v>1267</v>
      </c>
    </row>
    <row r="18" spans="1:3">
      <c r="A18" s="460" t="str">
        <f t="shared" si="0"/>
        <v>Darex II AEA-CHRYSO Inc</v>
      </c>
      <c r="B18" s="460" t="s">
        <v>1276</v>
      </c>
      <c r="C18" s="175" t="s">
        <v>1267</v>
      </c>
    </row>
    <row r="19" spans="1:3">
      <c r="A19" s="460" t="str">
        <f t="shared" si="0"/>
        <v>Eucon AEA-92-Euclid</v>
      </c>
      <c r="B19" s="460" t="s">
        <v>1277</v>
      </c>
      <c r="C19" s="174" t="s">
        <v>1278</v>
      </c>
    </row>
    <row r="20" spans="1:3">
      <c r="A20" s="460" t="str">
        <f t="shared" si="0"/>
        <v>Eucon AEA-92S-Euclid</v>
      </c>
      <c r="B20" s="460" t="s">
        <v>1279</v>
      </c>
      <c r="C20" s="175" t="s">
        <v>1278</v>
      </c>
    </row>
    <row r="21" spans="1:3">
      <c r="A21" s="460" t="str">
        <f t="shared" si="0"/>
        <v>Eucon Air MAC12-Euclid</v>
      </c>
      <c r="B21" s="460" t="s">
        <v>1280</v>
      </c>
      <c r="C21" s="174" t="s">
        <v>1278</v>
      </c>
    </row>
    <row r="22" spans="1:3">
      <c r="A22" s="460" t="str">
        <f t="shared" si="0"/>
        <v>Eucon Air MAC6-Euclid</v>
      </c>
      <c r="B22" s="460" t="s">
        <v>1281</v>
      </c>
      <c r="C22" s="175" t="s">
        <v>1278</v>
      </c>
    </row>
    <row r="23" spans="1:3">
      <c r="A23" s="460" t="str">
        <f t="shared" si="0"/>
        <v>Eucon Air Mix-Euclid</v>
      </c>
      <c r="B23" s="460" t="s">
        <v>1282</v>
      </c>
      <c r="C23" s="174" t="s">
        <v>1278</v>
      </c>
    </row>
    <row r="24" spans="1:3">
      <c r="A24" s="460" t="str">
        <f>_xlfn.CONCAT(B24, "-", C24)</f>
        <v>Mapeair SA-Mapei</v>
      </c>
      <c r="B24" s="460" t="s">
        <v>1996</v>
      </c>
      <c r="C24" s="174" t="s">
        <v>1625</v>
      </c>
    </row>
    <row r="25" spans="1:3">
      <c r="A25" s="460" t="str">
        <f>_xlfn.CONCAT(B25, "-", C25)</f>
        <v>Mapeair SA-50-Mapei</v>
      </c>
      <c r="B25" s="460" t="s">
        <v>1997</v>
      </c>
      <c r="C25" s="175" t="s">
        <v>1625</v>
      </c>
    </row>
    <row r="26" spans="1:3">
      <c r="A26" s="460" t="str">
        <f>_xlfn.CONCAT(B26, "-", C26)</f>
        <v>Mapeair VR-Mapei</v>
      </c>
      <c r="B26" s="460" t="s">
        <v>1998</v>
      </c>
      <c r="C26" s="174" t="s">
        <v>1625</v>
      </c>
    </row>
    <row r="27" spans="1:3">
      <c r="A27" s="460" t="str">
        <f t="shared" si="0"/>
        <v>MasterAir AE 200-Master Builders</v>
      </c>
      <c r="B27" s="460" t="s">
        <v>1283</v>
      </c>
      <c r="C27" s="175" t="s">
        <v>1966</v>
      </c>
    </row>
    <row r="28" spans="1:3">
      <c r="A28" s="460" t="str">
        <f t="shared" si="0"/>
        <v>MasterAir AE 400-Master Builders</v>
      </c>
      <c r="B28" s="460" t="s">
        <v>1285</v>
      </c>
      <c r="C28" s="175" t="s">
        <v>1966</v>
      </c>
    </row>
    <row r="29" spans="1:3">
      <c r="A29" s="460" t="str">
        <f t="shared" si="0"/>
        <v>MasterAir AE 90-Master Builders</v>
      </c>
      <c r="B29" s="460" t="s">
        <v>1286</v>
      </c>
      <c r="C29" s="175" t="s">
        <v>1966</v>
      </c>
    </row>
    <row r="30" spans="1:3">
      <c r="A30" s="460" t="str">
        <f t="shared" si="0"/>
        <v>MasterAir VR 10-Master Builders</v>
      </c>
      <c r="B30" s="460" t="s">
        <v>1287</v>
      </c>
      <c r="C30" s="175" t="s">
        <v>1966</v>
      </c>
    </row>
    <row r="31" spans="1:3">
      <c r="A31" s="460" t="str">
        <f t="shared" si="0"/>
        <v>Miracon 2315-Miracon Tech.</v>
      </c>
      <c r="B31" s="460" t="s">
        <v>1288</v>
      </c>
      <c r="C31" s="175" t="s">
        <v>1289</v>
      </c>
    </row>
    <row r="32" spans="1:3">
      <c r="A32" s="460" t="str">
        <f t="shared" si="0"/>
        <v>Polychem SA-14-Mapei</v>
      </c>
      <c r="B32" s="460" t="s">
        <v>2109</v>
      </c>
      <c r="C32" s="175" t="s">
        <v>1625</v>
      </c>
    </row>
    <row r="33" spans="1:3">
      <c r="A33" s="460" t="str">
        <f t="shared" si="0"/>
        <v>RAE-260-RussTech, Inc.</v>
      </c>
      <c r="B33" s="460" t="s">
        <v>1290</v>
      </c>
      <c r="C33" s="175" t="s">
        <v>1291</v>
      </c>
    </row>
    <row r="34" spans="1:3">
      <c r="A34" s="460" t="str">
        <f t="shared" si="0"/>
        <v>RSA-10-RussTech, Inc.</v>
      </c>
      <c r="B34" s="460" t="s">
        <v>1292</v>
      </c>
      <c r="C34" s="174" t="s">
        <v>1291</v>
      </c>
    </row>
    <row r="35" spans="1:3">
      <c r="A35" s="460" t="str">
        <f t="shared" si="0"/>
        <v>Sika AEA-14-Sika</v>
      </c>
      <c r="B35" s="460" t="s">
        <v>1293</v>
      </c>
      <c r="C35" s="175" t="s">
        <v>1294</v>
      </c>
    </row>
    <row r="36" spans="1:3">
      <c r="A36" s="460" t="str">
        <f t="shared" si="0"/>
        <v>Sika AER-C-Sika</v>
      </c>
      <c r="B36" s="460" t="s">
        <v>1295</v>
      </c>
      <c r="C36" s="174" t="s">
        <v>1294</v>
      </c>
    </row>
    <row r="37" spans="1:3">
      <c r="A37" s="460" t="str">
        <f t="shared" si="0"/>
        <v>Sika Air-Sika</v>
      </c>
      <c r="B37" s="460" t="s">
        <v>1296</v>
      </c>
      <c r="C37" s="175" t="s">
        <v>1294</v>
      </c>
    </row>
    <row r="38" spans="1:3">
      <c r="A38" s="460" t="str">
        <f t="shared" si="0"/>
        <v>Sika Air-260-Sika</v>
      </c>
      <c r="B38" s="460" t="s">
        <v>1297</v>
      </c>
      <c r="C38" s="174" t="s">
        <v>1294</v>
      </c>
    </row>
    <row r="39" spans="1:3">
      <c r="A39" s="460" t="str">
        <f t="shared" si="0"/>
        <v>Sika Air-360-Sika</v>
      </c>
      <c r="B39" s="460" t="s">
        <v>1298</v>
      </c>
      <c r="C39" s="175" t="s">
        <v>1294</v>
      </c>
    </row>
    <row r="40" spans="1:3">
      <c r="A40" s="460" t="str">
        <f t="shared" si="0"/>
        <v>SikaControl AIR-160-Sika</v>
      </c>
      <c r="B40" s="460" t="s">
        <v>1299</v>
      </c>
      <c r="C40" s="174" t="s">
        <v>1294</v>
      </c>
    </row>
    <row r="41" spans="1:3">
      <c r="A41" s="460" t="str">
        <f t="shared" si="0"/>
        <v>Stable Air-CCT</v>
      </c>
      <c r="B41" s="460" t="s">
        <v>1300</v>
      </c>
      <c r="C41" s="175" t="s">
        <v>1301</v>
      </c>
    </row>
    <row r="42" spans="1:3">
      <c r="A42" s="460" t="str">
        <f t="shared" si="0"/>
        <v>Super Air Plus-Fritz-Pak</v>
      </c>
      <c r="B42" s="460" t="s">
        <v>1302</v>
      </c>
      <c r="C42" s="174" t="s">
        <v>1263</v>
      </c>
    </row>
    <row r="43" spans="1:3">
      <c r="A43" s="460" t="str">
        <f t="shared" si="0"/>
        <v>Terapave AEA-CHRYSO Inc</v>
      </c>
      <c r="B43" s="460" t="s">
        <v>1303</v>
      </c>
      <c r="C43" s="175" t="s">
        <v>1267</v>
      </c>
    </row>
  </sheetData>
  <sheetProtection algorithmName="SHA-512" hashValue="17K8/AWdjtGXF3TNV7n8oWaVUeTcZKjzYQQ80nRCpVNzQIXEzgo2a6n6shSMQDSseMx/lMy4nN4sbNqcZ9Vn0Q==" saltValue="bXKgZBM/AcdaybNDvX7Y9w==" spinCount="100000" sheet="1" objects="1" scenarios="1"/>
  <mergeCells count="1">
    <mergeCell ref="A1:C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AEB21-857F-40D9-84D4-960F8D50E770}">
  <sheetPr codeName="Sheet20"/>
  <dimension ref="A1:C75"/>
  <sheetViews>
    <sheetView workbookViewId="0">
      <selection sqref="A1:C67"/>
    </sheetView>
  </sheetViews>
  <sheetFormatPr defaultRowHeight="15"/>
  <cols>
    <col min="1" max="1" width="34.109375" bestFit="1" customWidth="1"/>
    <col min="2" max="2" width="18.77734375" bestFit="1" customWidth="1"/>
    <col min="3" max="3" width="20" bestFit="1" customWidth="1"/>
  </cols>
  <sheetData>
    <row r="1" spans="1:3" ht="15" customHeight="1">
      <c r="A1" s="724" t="s">
        <v>1623</v>
      </c>
      <c r="B1" s="724"/>
      <c r="C1" s="724"/>
    </row>
    <row r="2" spans="1:3" ht="15" customHeight="1">
      <c r="A2" s="724"/>
      <c r="B2" s="724"/>
      <c r="C2" s="724"/>
    </row>
    <row r="3" spans="1:3" ht="15.75">
      <c r="A3" s="176"/>
      <c r="B3" s="176"/>
      <c r="C3" s="653"/>
    </row>
    <row r="4" spans="1:3">
      <c r="A4" s="654" t="str">
        <f>_xlfn.CONCAT(B4, "-", C4)</f>
        <v>ADVA 140M-CHRYSO Inc.</v>
      </c>
      <c r="B4" s="654" t="s">
        <v>1341</v>
      </c>
      <c r="C4" s="655" t="s">
        <v>2194</v>
      </c>
    </row>
    <row r="5" spans="1:3">
      <c r="A5" s="654" t="str">
        <f>_xlfn.CONCAT(B5, "-", C5)</f>
        <v>ADVA Cast 600-CHRYSO Inc.</v>
      </c>
      <c r="B5" s="654" t="s">
        <v>1349</v>
      </c>
      <c r="C5" s="655" t="s">
        <v>2194</v>
      </c>
    </row>
    <row r="6" spans="1:3">
      <c r="A6" s="461" t="str">
        <f>_xlfn.CONCAT(B6, "-", C6)</f>
        <v>Accelguard G3-Euclid</v>
      </c>
      <c r="B6" s="461" t="s">
        <v>1304</v>
      </c>
      <c r="C6" s="655" t="s">
        <v>1278</v>
      </c>
    </row>
    <row r="7" spans="1:3">
      <c r="A7" s="461" t="str">
        <f t="shared" ref="A7:A67" si="0">_xlfn.CONCAT(B7, "-", C7)</f>
        <v>Chryso Fluid Optima 256-CHRYSO Inc.</v>
      </c>
      <c r="B7" s="461" t="s">
        <v>1305</v>
      </c>
      <c r="C7" s="655" t="s">
        <v>2194</v>
      </c>
    </row>
    <row r="8" spans="1:3">
      <c r="A8" s="461" t="str">
        <f t="shared" si="0"/>
        <v>Chryso Optima 249-CHRYSO Inc.</v>
      </c>
      <c r="B8" s="461" t="s">
        <v>2110</v>
      </c>
      <c r="C8" s="655" t="s">
        <v>2194</v>
      </c>
    </row>
    <row r="9" spans="1:3">
      <c r="A9" s="461" t="str">
        <f t="shared" si="0"/>
        <v>Clarena MC 2000-CHRYSO Inc.</v>
      </c>
      <c r="B9" s="461" t="s">
        <v>1306</v>
      </c>
      <c r="C9" s="655" t="s">
        <v>2194</v>
      </c>
    </row>
    <row r="10" spans="1:3">
      <c r="A10" s="461" t="str">
        <f t="shared" si="0"/>
        <v>Concera SA8080-CHRYSO Inc.</v>
      </c>
      <c r="B10" s="461" t="s">
        <v>1307</v>
      </c>
      <c r="C10" s="655" t="s">
        <v>2194</v>
      </c>
    </row>
    <row r="11" spans="1:3">
      <c r="A11" s="461" t="str">
        <f t="shared" si="0"/>
        <v>DNL 485-DarCole Products, Inc</v>
      </c>
      <c r="B11" s="461" t="s">
        <v>1811</v>
      </c>
      <c r="C11" s="655" t="s">
        <v>1810</v>
      </c>
    </row>
    <row r="12" spans="1:3">
      <c r="A12" s="461" t="str">
        <f t="shared" si="0"/>
        <v>DNL 785-DarCole Products, Inc</v>
      </c>
      <c r="B12" s="461" t="s">
        <v>1812</v>
      </c>
      <c r="C12" s="655" t="s">
        <v>1810</v>
      </c>
    </row>
    <row r="13" spans="1:3">
      <c r="A13" s="461" t="str">
        <f t="shared" si="0"/>
        <v>Dynamon 850-Mapei</v>
      </c>
      <c r="B13" s="461" t="s">
        <v>1988</v>
      </c>
      <c r="C13" s="655" t="s">
        <v>1625</v>
      </c>
    </row>
    <row r="14" spans="1:3">
      <c r="A14" s="461" t="str">
        <f t="shared" si="0"/>
        <v>Dynamon Easy 75-Mapei</v>
      </c>
      <c r="B14" s="461" t="s">
        <v>2195</v>
      </c>
      <c r="C14" s="655" t="s">
        <v>1625</v>
      </c>
    </row>
    <row r="15" spans="1:3">
      <c r="A15" s="461" t="str">
        <f t="shared" si="0"/>
        <v>Dynamon NRG 1092-Mapei</v>
      </c>
      <c r="B15" s="461" t="s">
        <v>1624</v>
      </c>
      <c r="C15" s="655" t="s">
        <v>1625</v>
      </c>
    </row>
    <row r="16" spans="1:3">
      <c r="A16" s="461" t="str">
        <f t="shared" si="0"/>
        <v>Dynamon NRG 546-Mapei</v>
      </c>
      <c r="B16" s="461" t="s">
        <v>1780</v>
      </c>
      <c r="C16" s="655" t="s">
        <v>1625</v>
      </c>
    </row>
    <row r="17" spans="1:3">
      <c r="A17" s="461" t="str">
        <f t="shared" si="0"/>
        <v>Dynamon SX-Mapei</v>
      </c>
      <c r="B17" s="461" t="s">
        <v>1352</v>
      </c>
      <c r="C17" s="655" t="s">
        <v>1625</v>
      </c>
    </row>
    <row r="18" spans="1:3">
      <c r="A18" s="461" t="str">
        <f t="shared" si="0"/>
        <v>Eucon MRX-Euclid</v>
      </c>
      <c r="B18" s="461" t="s">
        <v>1308</v>
      </c>
      <c r="C18" s="655" t="s">
        <v>1278</v>
      </c>
    </row>
    <row r="19" spans="1:3">
      <c r="A19" s="461" t="str">
        <f t="shared" si="0"/>
        <v>Eucon SE-Euclid</v>
      </c>
      <c r="B19" s="461" t="s">
        <v>1309</v>
      </c>
      <c r="C19" s="655" t="s">
        <v>1278</v>
      </c>
    </row>
    <row r="20" spans="1:3">
      <c r="A20" s="461" t="str">
        <f t="shared" si="0"/>
        <v>Eucon WR-Euclid</v>
      </c>
      <c r="B20" s="461" t="s">
        <v>1310</v>
      </c>
      <c r="C20" s="655" t="s">
        <v>1278</v>
      </c>
    </row>
    <row r="21" spans="1:3">
      <c r="A21" s="461" t="str">
        <f t="shared" si="0"/>
        <v>Eucon WR-75-Euclid</v>
      </c>
      <c r="B21" s="461" t="s">
        <v>1311</v>
      </c>
      <c r="C21" s="655" t="s">
        <v>1278</v>
      </c>
    </row>
    <row r="22" spans="1:3">
      <c r="A22" s="461" t="str">
        <f t="shared" si="0"/>
        <v>Eucon WR-91-Euclid</v>
      </c>
      <c r="B22" s="461" t="s">
        <v>1312</v>
      </c>
      <c r="C22" s="655" t="s">
        <v>1278</v>
      </c>
    </row>
    <row r="23" spans="1:3">
      <c r="A23" s="461" t="str">
        <f t="shared" si="0"/>
        <v>Eucon X-15-Euclid</v>
      </c>
      <c r="B23" s="461" t="s">
        <v>1992</v>
      </c>
      <c r="C23" s="655" t="s">
        <v>1278</v>
      </c>
    </row>
    <row r="24" spans="1:3">
      <c r="A24" s="461" t="str">
        <f t="shared" si="0"/>
        <v>Extendflo X90-RussTech</v>
      </c>
      <c r="B24" s="461" t="s">
        <v>1313</v>
      </c>
      <c r="C24" s="655" t="s">
        <v>1314</v>
      </c>
    </row>
    <row r="25" spans="1:3">
      <c r="A25" s="461" t="str">
        <f t="shared" si="0"/>
        <v>FinishEase-NC-RussTech</v>
      </c>
      <c r="B25" s="461" t="s">
        <v>1315</v>
      </c>
      <c r="C25" s="655" t="s">
        <v>1314</v>
      </c>
    </row>
    <row r="26" spans="1:3">
      <c r="A26" s="461" t="str">
        <f t="shared" si="0"/>
        <v>LC-400P-RussTech</v>
      </c>
      <c r="B26" s="461" t="s">
        <v>1316</v>
      </c>
      <c r="C26" s="655" t="s">
        <v>1314</v>
      </c>
    </row>
    <row r="27" spans="1:3">
      <c r="A27" s="461" t="str">
        <f t="shared" si="0"/>
        <v>MIRA 62-CHRYSO Inc.</v>
      </c>
      <c r="B27" s="461" t="s">
        <v>1356</v>
      </c>
      <c r="C27" s="655" t="s">
        <v>2194</v>
      </c>
    </row>
    <row r="28" spans="1:3">
      <c r="A28" s="461" t="str">
        <f t="shared" si="0"/>
        <v>MIRA 95-CHRYSO Inc.</v>
      </c>
      <c r="B28" s="461" t="s">
        <v>1317</v>
      </c>
      <c r="C28" s="655" t="s">
        <v>2194</v>
      </c>
    </row>
    <row r="29" spans="1:3">
      <c r="A29" s="461" t="str">
        <f t="shared" si="0"/>
        <v>Mapefluid N200-Mapei</v>
      </c>
      <c r="B29" s="461" t="s">
        <v>1781</v>
      </c>
      <c r="C29" s="655" t="s">
        <v>1625</v>
      </c>
    </row>
    <row r="30" spans="1:3">
      <c r="A30" s="461" t="str">
        <f t="shared" si="0"/>
        <v>Mapeplast 400 NC-Mapei</v>
      </c>
      <c r="B30" s="461" t="s">
        <v>1981</v>
      </c>
      <c r="C30" s="655" t="s">
        <v>1625</v>
      </c>
    </row>
    <row r="31" spans="1:3">
      <c r="A31" s="461" t="str">
        <f t="shared" si="0"/>
        <v>Mapeplast 440 NS-Mapei</v>
      </c>
      <c r="B31" s="461" t="s">
        <v>2196</v>
      </c>
      <c r="C31" s="655" t="s">
        <v>1625</v>
      </c>
    </row>
    <row r="32" spans="1:3">
      <c r="A32" s="461" t="str">
        <f t="shared" si="0"/>
        <v>Mapeplast KB 1200-Mapei</v>
      </c>
      <c r="B32" s="461" t="s">
        <v>1993</v>
      </c>
      <c r="C32" s="655" t="s">
        <v>1625</v>
      </c>
    </row>
    <row r="33" spans="1:3">
      <c r="A33" s="461" t="str">
        <f t="shared" si="0"/>
        <v>Mapeplast MR 107-Mapei</v>
      </c>
      <c r="B33" s="461" t="s">
        <v>1782</v>
      </c>
      <c r="C33" s="655" t="s">
        <v>1625</v>
      </c>
    </row>
    <row r="34" spans="1:3">
      <c r="A34" s="461" t="str">
        <f t="shared" si="0"/>
        <v>Mapeplast N-Mapei</v>
      </c>
      <c r="B34" s="461" t="s">
        <v>1813</v>
      </c>
      <c r="C34" s="655" t="s">
        <v>1625</v>
      </c>
    </row>
    <row r="35" spans="1:3">
      <c r="A35" s="461" t="str">
        <f t="shared" si="0"/>
        <v>Mapeplast Paver Plus-Mapei</v>
      </c>
      <c r="B35" s="461" t="s">
        <v>1994</v>
      </c>
      <c r="C35" s="655" t="s">
        <v>1625</v>
      </c>
    </row>
    <row r="36" spans="1:3">
      <c r="A36" s="461" t="str">
        <f t="shared" si="0"/>
        <v>Master X-Seed 66-Master Builders</v>
      </c>
      <c r="B36" s="461" t="s">
        <v>1814</v>
      </c>
      <c r="C36" s="655" t="s">
        <v>1966</v>
      </c>
    </row>
    <row r="37" spans="1:3">
      <c r="A37" s="461" t="str">
        <f t="shared" si="0"/>
        <v>MasterEase 5000-Master Builders</v>
      </c>
      <c r="B37" s="461" t="s">
        <v>2111</v>
      </c>
      <c r="C37" s="655" t="s">
        <v>1966</v>
      </c>
    </row>
    <row r="38" spans="1:3">
      <c r="A38" s="461" t="str">
        <f t="shared" si="0"/>
        <v>MasterGlenium 1466-Master Builders</v>
      </c>
      <c r="B38" s="461" t="s">
        <v>1318</v>
      </c>
      <c r="C38" s="655" t="s">
        <v>1966</v>
      </c>
    </row>
    <row r="39" spans="1:3">
      <c r="A39" s="461" t="str">
        <f t="shared" si="0"/>
        <v>MasterGlenium 3030-Master Builders</v>
      </c>
      <c r="B39" s="461" t="s">
        <v>1319</v>
      </c>
      <c r="C39" s="655" t="s">
        <v>1966</v>
      </c>
    </row>
    <row r="40" spans="1:3">
      <c r="A40" s="461" t="str">
        <f t="shared" si="0"/>
        <v>MasterGlenium 7920-Master Builders</v>
      </c>
      <c r="B40" s="461" t="s">
        <v>1320</v>
      </c>
      <c r="C40" s="655" t="s">
        <v>1966</v>
      </c>
    </row>
    <row r="41" spans="1:3">
      <c r="A41" s="461" t="str">
        <f t="shared" si="0"/>
        <v>MasterPolyheed 900-Master Builders</v>
      </c>
      <c r="B41" s="461" t="s">
        <v>1321</v>
      </c>
      <c r="C41" s="655" t="s">
        <v>1966</v>
      </c>
    </row>
    <row r="42" spans="1:3">
      <c r="A42" s="461" t="str">
        <f t="shared" si="0"/>
        <v>MasterPolyheed 997-Master Builders</v>
      </c>
      <c r="B42" s="461" t="s">
        <v>1632</v>
      </c>
      <c r="C42" s="655" t="s">
        <v>1966</v>
      </c>
    </row>
    <row r="43" spans="1:3">
      <c r="A43" s="461" t="str">
        <f t="shared" si="0"/>
        <v>MasterPozzolith 200-Master Builders</v>
      </c>
      <c r="B43" s="461" t="s">
        <v>1322</v>
      </c>
      <c r="C43" s="655" t="s">
        <v>1966</v>
      </c>
    </row>
    <row r="44" spans="1:3">
      <c r="A44" s="461" t="str">
        <f t="shared" si="0"/>
        <v>MasterPozzolith 322-Master Builders</v>
      </c>
      <c r="B44" s="461" t="s">
        <v>1323</v>
      </c>
      <c r="C44" s="655" t="s">
        <v>1966</v>
      </c>
    </row>
    <row r="45" spans="1:3">
      <c r="A45" s="461" t="str">
        <f t="shared" si="0"/>
        <v>MasterPozzolith 700-Master Builders</v>
      </c>
      <c r="B45" s="461" t="s">
        <v>1324</v>
      </c>
      <c r="C45" s="655" t="s">
        <v>1966</v>
      </c>
    </row>
    <row r="46" spans="1:3">
      <c r="A46" s="461" t="str">
        <f t="shared" si="0"/>
        <v>MasterPozzolith 80-Master Builders</v>
      </c>
      <c r="B46" s="461" t="s">
        <v>1325</v>
      </c>
      <c r="C46" s="655" t="s">
        <v>1966</v>
      </c>
    </row>
    <row r="47" spans="1:3">
      <c r="A47" s="461" t="str">
        <f t="shared" si="0"/>
        <v>Melchem 38-Mapei</v>
      </c>
      <c r="B47" s="461" t="s">
        <v>1783</v>
      </c>
      <c r="C47" s="655" t="s">
        <v>1625</v>
      </c>
    </row>
    <row r="48" spans="1:3">
      <c r="A48" s="461" t="str">
        <f t="shared" si="0"/>
        <v>OptiFlo 500-Premiere Admix</v>
      </c>
      <c r="B48" s="461" t="s">
        <v>1326</v>
      </c>
      <c r="C48" s="655" t="s">
        <v>1327</v>
      </c>
    </row>
    <row r="49" spans="1:3">
      <c r="A49" s="461" t="str">
        <f t="shared" si="0"/>
        <v>OptiFlo 700-Premiere Admix</v>
      </c>
      <c r="B49" s="461" t="s">
        <v>1328</v>
      </c>
      <c r="C49" s="655" t="s">
        <v>1327</v>
      </c>
    </row>
    <row r="50" spans="1:3">
      <c r="A50" s="461" t="str">
        <f t="shared" si="0"/>
        <v>OpiFlo MR-Premiere Admix</v>
      </c>
      <c r="B50" s="461" t="s">
        <v>1918</v>
      </c>
      <c r="C50" s="655" t="s">
        <v>1327</v>
      </c>
    </row>
    <row r="51" spans="1:3">
      <c r="A51" s="461" t="str">
        <f>_xlfn.CONCAT(B51, "-", C51)</f>
        <v>Plastol 6420-Euclid</v>
      </c>
      <c r="B51" s="461" t="s">
        <v>1329</v>
      </c>
      <c r="C51" s="655" t="s">
        <v>1278</v>
      </c>
    </row>
    <row r="52" spans="1:3">
      <c r="A52" s="461" t="str">
        <f>_xlfn.CONCAT(B52, "-", C52)</f>
        <v>Plastol 6425-Euclid</v>
      </c>
      <c r="B52" s="461" t="s">
        <v>1989</v>
      </c>
      <c r="C52" s="655" t="s">
        <v>1278</v>
      </c>
    </row>
    <row r="53" spans="1:3">
      <c r="A53" s="461" t="str">
        <f t="shared" si="0"/>
        <v>Polychem 3000-Mapei</v>
      </c>
      <c r="B53" s="461" t="s">
        <v>1330</v>
      </c>
      <c r="C53" s="655" t="s">
        <v>1625</v>
      </c>
    </row>
    <row r="54" spans="1:3">
      <c r="A54" s="461" t="str">
        <f t="shared" si="0"/>
        <v>Sika Plastocrete 10N-Sika</v>
      </c>
      <c r="B54" s="461" t="s">
        <v>1985</v>
      </c>
      <c r="C54" s="655" t="s">
        <v>1294</v>
      </c>
    </row>
    <row r="55" spans="1:3">
      <c r="A55" s="461" t="str">
        <f t="shared" si="0"/>
        <v>Sika Plastocrete 161-Sika</v>
      </c>
      <c r="B55" s="461" t="s">
        <v>1986</v>
      </c>
      <c r="C55" s="655" t="s">
        <v>1294</v>
      </c>
    </row>
    <row r="56" spans="1:3">
      <c r="A56" s="461" t="str">
        <f t="shared" si="0"/>
        <v>Sika Plastocrete-250-Sika</v>
      </c>
      <c r="B56" s="461" t="s">
        <v>1987</v>
      </c>
      <c r="C56" s="655" t="s">
        <v>1294</v>
      </c>
    </row>
    <row r="57" spans="1:3">
      <c r="A57" s="461" t="str">
        <f>_xlfn.CONCAT(B57, "-", C57)</f>
        <v>Sika ViscoFlow-2020-Sika</v>
      </c>
      <c r="B57" s="461" t="s">
        <v>1331</v>
      </c>
      <c r="C57" s="655" t="s">
        <v>1294</v>
      </c>
    </row>
    <row r="58" spans="1:3">
      <c r="A58" s="461" t="str">
        <f>_xlfn.CONCAT(B58, "-", C58)</f>
        <v>Sika Viscocrete-1100-Sika</v>
      </c>
      <c r="B58" s="461" t="s">
        <v>1995</v>
      </c>
      <c r="C58" s="655" t="s">
        <v>1294</v>
      </c>
    </row>
    <row r="59" spans="1:3">
      <c r="A59" s="461" t="str">
        <f t="shared" si="0"/>
        <v>Sikament 686-Sika</v>
      </c>
      <c r="B59" s="461" t="s">
        <v>1332</v>
      </c>
      <c r="C59" s="655" t="s">
        <v>1294</v>
      </c>
    </row>
    <row r="60" spans="1:3">
      <c r="A60" s="461" t="str">
        <f t="shared" si="0"/>
        <v>Sikament-475-Sika</v>
      </c>
      <c r="B60" s="461" t="s">
        <v>1333</v>
      </c>
      <c r="C60" s="655" t="s">
        <v>1294</v>
      </c>
    </row>
    <row r="61" spans="1:3">
      <c r="A61" s="461" t="str">
        <f t="shared" si="0"/>
        <v>Superflo 2000 RM-RussTech</v>
      </c>
      <c r="B61" s="461" t="s">
        <v>1334</v>
      </c>
      <c r="C61" s="655" t="s">
        <v>1314</v>
      </c>
    </row>
    <row r="62" spans="1:3">
      <c r="A62" s="461" t="str">
        <f t="shared" si="0"/>
        <v>Superflo 2000 SCC-RussTech</v>
      </c>
      <c r="B62" s="461" t="s">
        <v>1335</v>
      </c>
      <c r="C62" s="655" t="s">
        <v>1314</v>
      </c>
    </row>
    <row r="63" spans="1:3">
      <c r="A63" s="461" t="str">
        <f t="shared" si="0"/>
        <v>Superflo 2040 RM-RussTech</v>
      </c>
      <c r="B63" s="461" t="s">
        <v>1336</v>
      </c>
      <c r="C63" s="655" t="s">
        <v>1314</v>
      </c>
    </row>
    <row r="64" spans="1:3">
      <c r="A64" s="461" t="str">
        <f t="shared" si="0"/>
        <v>WRDA 82-CHRYSO Inc.</v>
      </c>
      <c r="B64" s="461" t="s">
        <v>1337</v>
      </c>
      <c r="C64" s="655" t="s">
        <v>2194</v>
      </c>
    </row>
    <row r="65" spans="1:3">
      <c r="A65" s="461" t="str">
        <f t="shared" si="0"/>
        <v>ZYLA 620-CHRYSO Inc.</v>
      </c>
      <c r="B65" s="461" t="s">
        <v>1338</v>
      </c>
      <c r="C65" s="655" t="s">
        <v>2194</v>
      </c>
    </row>
    <row r="66" spans="1:3">
      <c r="A66" s="461" t="str">
        <f t="shared" si="0"/>
        <v>ZYLA 630-CHRYSO Inc.</v>
      </c>
      <c r="B66" s="461" t="s">
        <v>1339</v>
      </c>
      <c r="C66" s="655" t="s">
        <v>2194</v>
      </c>
    </row>
    <row r="67" spans="1:3">
      <c r="A67" s="461" t="str">
        <f t="shared" si="0"/>
        <v>ZYLA 640-CHRYSO Inc.</v>
      </c>
      <c r="B67" s="461" t="s">
        <v>1340</v>
      </c>
      <c r="C67" s="655" t="s">
        <v>2194</v>
      </c>
    </row>
    <row r="74" spans="1:3" ht="15.6" customHeight="1"/>
    <row r="75" spans="1:3" ht="15.6" customHeight="1"/>
  </sheetData>
  <sheetProtection algorithmName="SHA-512" hashValue="BiCMXZzGpgmVjOI+UJZELTj8e0GB7PSEgdnb5aKNg1AgtU9kojlW/7GSAgGNW1R332hqw6mQaV0Bmx0N+A7Fjg==" saltValue="Ga7Qvf+IycRkCUGx8jCEhQ==" spinCount="100000" sheet="1" objects="1" scenarios="1"/>
  <mergeCells count="1">
    <mergeCell ref="A1:C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26C49-B016-4F01-8A92-E4B67CAE838B}">
  <sheetPr codeName="Sheet21"/>
  <dimension ref="A1:C43"/>
  <sheetViews>
    <sheetView workbookViewId="0">
      <selection sqref="A1:C36"/>
    </sheetView>
  </sheetViews>
  <sheetFormatPr defaultRowHeight="15"/>
  <cols>
    <col min="1" max="1" width="31.5546875" bestFit="1" customWidth="1"/>
    <col min="2" max="2" width="18.77734375" bestFit="1" customWidth="1"/>
    <col min="3" max="3" width="16.109375" bestFit="1" customWidth="1"/>
  </cols>
  <sheetData>
    <row r="1" spans="1:3" ht="14.65" customHeight="1">
      <c r="A1" s="725" t="s">
        <v>1626</v>
      </c>
      <c r="B1" s="725"/>
      <c r="C1" s="725"/>
    </row>
    <row r="2" spans="1:3" ht="14.65" customHeight="1">
      <c r="A2" s="725"/>
      <c r="B2" s="725"/>
      <c r="C2" s="725"/>
    </row>
    <row r="3" spans="1:3">
      <c r="A3" s="462"/>
      <c r="B3" s="462"/>
      <c r="C3" s="462"/>
    </row>
    <row r="4" spans="1:3">
      <c r="A4" s="462" t="str">
        <f t="shared" ref="A4:A33" si="0">_xlfn.CONCAT(B4, "-", C4)</f>
        <v>ADVA 140M-CHRYSO Inc.</v>
      </c>
      <c r="B4" s="462" t="s">
        <v>1341</v>
      </c>
      <c r="C4" s="462" t="s">
        <v>2194</v>
      </c>
    </row>
    <row r="5" spans="1:3">
      <c r="A5" s="462" t="str">
        <f t="shared" si="0"/>
        <v>ADVA Cast 575-CHRYSO Inc.</v>
      </c>
      <c r="B5" s="462" t="s">
        <v>1347</v>
      </c>
      <c r="C5" s="462" t="s">
        <v>2194</v>
      </c>
    </row>
    <row r="6" spans="1:3">
      <c r="A6" s="462" t="str">
        <f t="shared" si="0"/>
        <v>ADVA Cast 600-CHRYSO Inc.</v>
      </c>
      <c r="B6" s="462" t="s">
        <v>1349</v>
      </c>
      <c r="C6" s="462" t="s">
        <v>2194</v>
      </c>
    </row>
    <row r="7" spans="1:3">
      <c r="A7" s="462" t="str">
        <f t="shared" si="0"/>
        <v>Chryso Fluid Optima 256-CHRYSO Inc.</v>
      </c>
      <c r="B7" s="462" t="s">
        <v>1305</v>
      </c>
      <c r="C7" s="462" t="s">
        <v>2194</v>
      </c>
    </row>
    <row r="8" spans="1:3">
      <c r="A8" s="462" t="str">
        <f t="shared" si="0"/>
        <v>Dynamon 850-Mapei</v>
      </c>
      <c r="B8" s="462" t="s">
        <v>1988</v>
      </c>
      <c r="C8" s="463" t="s">
        <v>1625</v>
      </c>
    </row>
    <row r="9" spans="1:3">
      <c r="A9" s="462" t="str">
        <f t="shared" si="0"/>
        <v>Dynamon SX-Mapei</v>
      </c>
      <c r="B9" s="462" t="s">
        <v>1352</v>
      </c>
      <c r="C9" s="463" t="s">
        <v>1625</v>
      </c>
    </row>
    <row r="10" spans="1:3">
      <c r="A10" s="462" t="str">
        <f t="shared" si="0"/>
        <v>Eucon MR-Euclid</v>
      </c>
      <c r="B10" s="462" t="s">
        <v>1627</v>
      </c>
      <c r="C10" s="463" t="s">
        <v>1278</v>
      </c>
    </row>
    <row r="11" spans="1:3">
      <c r="A11" s="462" t="str">
        <f t="shared" si="0"/>
        <v>Eucon MRX-Euclid</v>
      </c>
      <c r="B11" s="462" t="s">
        <v>1308</v>
      </c>
      <c r="C11" s="463" t="s">
        <v>1278</v>
      </c>
    </row>
    <row r="12" spans="1:3">
      <c r="A12" s="462" t="str">
        <f t="shared" si="0"/>
        <v>Eucon X-15-Euclid</v>
      </c>
      <c r="B12" s="462" t="s">
        <v>1992</v>
      </c>
      <c r="C12" s="463" t="s">
        <v>1278</v>
      </c>
    </row>
    <row r="13" spans="1:3">
      <c r="A13" s="462" t="str">
        <f t="shared" si="0"/>
        <v>FinishEase-NC-RussTech</v>
      </c>
      <c r="B13" s="462" t="s">
        <v>1315</v>
      </c>
      <c r="C13" s="463" t="s">
        <v>1314</v>
      </c>
    </row>
    <row r="14" spans="1:3">
      <c r="A14" s="462" t="str">
        <f t="shared" si="0"/>
        <v>MIRA 110-CHRYSO Inc.</v>
      </c>
      <c r="B14" s="462" t="s">
        <v>1355</v>
      </c>
      <c r="C14" s="462" t="s">
        <v>2194</v>
      </c>
    </row>
    <row r="15" spans="1:3">
      <c r="A15" s="462" t="str">
        <f t="shared" si="0"/>
        <v>MIRA 62-CHRYSO Inc.</v>
      </c>
      <c r="B15" s="462" t="s">
        <v>1356</v>
      </c>
      <c r="C15" s="462" t="s">
        <v>2194</v>
      </c>
    </row>
    <row r="16" spans="1:3">
      <c r="A16" s="462" t="str">
        <f t="shared" si="0"/>
        <v>MIRA 95-CHRYSO Inc.</v>
      </c>
      <c r="B16" s="462" t="s">
        <v>1317</v>
      </c>
      <c r="C16" s="462" t="s">
        <v>2194</v>
      </c>
    </row>
    <row r="17" spans="1:3">
      <c r="A17" s="462" t="str">
        <f t="shared" si="0"/>
        <v>Mapeplast KB 1200-Mapei</v>
      </c>
      <c r="B17" s="462" t="s">
        <v>1993</v>
      </c>
      <c r="C17" s="463" t="s">
        <v>1625</v>
      </c>
    </row>
    <row r="18" spans="1:3">
      <c r="A18" s="462" t="str">
        <f t="shared" si="0"/>
        <v>Mapeplast MR 107-Mapei</v>
      </c>
      <c r="B18" s="462" t="s">
        <v>1782</v>
      </c>
      <c r="C18" s="463" t="s">
        <v>1625</v>
      </c>
    </row>
    <row r="19" spans="1:3">
      <c r="A19" s="462" t="str">
        <f t="shared" si="0"/>
        <v>MasterGlenium 3030-Master Builders</v>
      </c>
      <c r="B19" s="462" t="s">
        <v>1319</v>
      </c>
      <c r="C19" s="463" t="s">
        <v>1966</v>
      </c>
    </row>
    <row r="20" spans="1:3">
      <c r="A20" s="462" t="str">
        <f t="shared" si="0"/>
        <v>MasterGlenium 7500-Master Builders</v>
      </c>
      <c r="B20" s="462" t="s">
        <v>1358</v>
      </c>
      <c r="C20" s="463" t="s">
        <v>1966</v>
      </c>
    </row>
    <row r="21" spans="1:3">
      <c r="A21" s="462" t="str">
        <f t="shared" si="0"/>
        <v>MasterPolyheed 1020-Master Builders</v>
      </c>
      <c r="B21" s="462" t="s">
        <v>1628</v>
      </c>
      <c r="C21" s="463" t="s">
        <v>1966</v>
      </c>
    </row>
    <row r="22" spans="1:3">
      <c r="A22" s="462" t="str">
        <f t="shared" si="0"/>
        <v>MasterPolyheed 1025-Master Builders</v>
      </c>
      <c r="B22" s="462" t="s">
        <v>1629</v>
      </c>
      <c r="C22" s="463" t="s">
        <v>1966</v>
      </c>
    </row>
    <row r="23" spans="1:3">
      <c r="A23" s="462" t="str">
        <f t="shared" si="0"/>
        <v>MasterPolyheed 1720-Master Builders</v>
      </c>
      <c r="B23" s="462" t="s">
        <v>1630</v>
      </c>
      <c r="C23" s="463" t="s">
        <v>1966</v>
      </c>
    </row>
    <row r="24" spans="1:3">
      <c r="A24" s="462" t="str">
        <f t="shared" si="0"/>
        <v>MasterPolyheed 1725-Master Builders</v>
      </c>
      <c r="B24" s="462" t="s">
        <v>1631</v>
      </c>
      <c r="C24" s="463" t="s">
        <v>1966</v>
      </c>
    </row>
    <row r="25" spans="1:3">
      <c r="A25" s="462" t="str">
        <f t="shared" si="0"/>
        <v>MasterPolyheed 900-Master Builders</v>
      </c>
      <c r="B25" s="462" t="s">
        <v>1321</v>
      </c>
      <c r="C25" s="463" t="s">
        <v>1966</v>
      </c>
    </row>
    <row r="26" spans="1:3">
      <c r="A26" s="462" t="str">
        <f t="shared" si="0"/>
        <v>MasterPolyheed 997-Master Builders</v>
      </c>
      <c r="B26" s="462" t="s">
        <v>1632</v>
      </c>
      <c r="C26" s="463" t="s">
        <v>1966</v>
      </c>
    </row>
    <row r="27" spans="1:3">
      <c r="A27" s="462" t="str">
        <f t="shared" si="0"/>
        <v>OptiFlo MR-Premiere Admix</v>
      </c>
      <c r="B27" s="462" t="s">
        <v>1633</v>
      </c>
      <c r="C27" s="463" t="s">
        <v>1327</v>
      </c>
    </row>
    <row r="28" spans="1:3">
      <c r="A28" s="462" t="str">
        <f t="shared" si="0"/>
        <v>OptiFlo 700-Premiere Admix</v>
      </c>
      <c r="B28" s="462" t="s">
        <v>1328</v>
      </c>
      <c r="C28" s="463" t="s">
        <v>1327</v>
      </c>
    </row>
    <row r="29" spans="1:3">
      <c r="A29" s="462" t="str">
        <f t="shared" si="0"/>
        <v>Plastol 6420-Euclid</v>
      </c>
      <c r="B29" s="462" t="s">
        <v>1329</v>
      </c>
      <c r="C29" s="463" t="s">
        <v>1278</v>
      </c>
    </row>
    <row r="30" spans="1:3">
      <c r="A30" s="462" t="str">
        <f t="shared" si="0"/>
        <v>Polychem 3000-Mapei</v>
      </c>
      <c r="B30" s="462" t="s">
        <v>1330</v>
      </c>
      <c r="C30" s="463" t="s">
        <v>1625</v>
      </c>
    </row>
    <row r="31" spans="1:3">
      <c r="A31" s="462" t="str">
        <f t="shared" si="0"/>
        <v>Sika ViscoFlow 2020-Sika</v>
      </c>
      <c r="B31" s="462" t="s">
        <v>1634</v>
      </c>
      <c r="C31" s="463" t="s">
        <v>1294</v>
      </c>
    </row>
    <row r="32" spans="1:3">
      <c r="A32" s="462" t="str">
        <f t="shared" si="0"/>
        <v>Sika ViscoCrete 1000-Sika</v>
      </c>
      <c r="B32" s="462" t="s">
        <v>1367</v>
      </c>
      <c r="C32" s="464" t="s">
        <v>1294</v>
      </c>
    </row>
    <row r="33" spans="1:3">
      <c r="A33" s="462" t="str">
        <f t="shared" si="0"/>
        <v>Sikament AFM-Sika</v>
      </c>
      <c r="B33" s="462" t="s">
        <v>1372</v>
      </c>
      <c r="C33" s="463" t="s">
        <v>1294</v>
      </c>
    </row>
    <row r="34" spans="1:3">
      <c r="A34" s="462" t="str">
        <f>_xlfn.CONCAT(B34, "-", C34)</f>
        <v>Sikament-475-Sika</v>
      </c>
      <c r="B34" s="462" t="s">
        <v>1333</v>
      </c>
      <c r="C34" s="463" t="s">
        <v>1294</v>
      </c>
    </row>
    <row r="35" spans="1:3">
      <c r="A35" s="462" t="str">
        <f>_xlfn.CONCAT(B35, "-", C35)</f>
        <v>Sikaplast 200-Sika</v>
      </c>
      <c r="B35" s="462" t="s">
        <v>1635</v>
      </c>
      <c r="C35" s="463" t="s">
        <v>1294</v>
      </c>
    </row>
    <row r="36" spans="1:3">
      <c r="A36" s="462" t="str">
        <f>_xlfn.CONCAT(B36, "-", C36)</f>
        <v>Sikaplast 300GP-Sika</v>
      </c>
      <c r="B36" s="462" t="s">
        <v>1636</v>
      </c>
      <c r="C36" s="464" t="s">
        <v>1294</v>
      </c>
    </row>
    <row r="37" spans="1:3">
      <c r="A37" s="465"/>
      <c r="B37" s="465"/>
      <c r="C37" s="466"/>
    </row>
    <row r="38" spans="1:3">
      <c r="A38" s="465"/>
      <c r="B38" s="465"/>
      <c r="C38" s="467"/>
    </row>
    <row r="39" spans="1:3">
      <c r="A39" s="465"/>
      <c r="B39" s="465"/>
      <c r="C39" s="466"/>
    </row>
    <row r="40" spans="1:3">
      <c r="A40" s="465"/>
      <c r="B40" s="465"/>
      <c r="C40" s="467"/>
    </row>
    <row r="41" spans="1:3">
      <c r="A41" s="465"/>
      <c r="B41" s="465"/>
      <c r="C41" s="466"/>
    </row>
    <row r="42" spans="1:3">
      <c r="A42" s="465"/>
      <c r="B42" s="465"/>
      <c r="C42" s="467"/>
    </row>
    <row r="43" spans="1:3">
      <c r="A43" s="465"/>
      <c r="B43" s="465"/>
      <c r="C43" s="466"/>
    </row>
  </sheetData>
  <sheetProtection algorithmName="SHA-512" hashValue="0/52X+nRZ6opdfr4/kBjZmTkLOhHwOG3QVojHzDR6BpsFiQEBBZViwbQGQSlt+MajoXl6DCm4KDJzro4leXLVw==" saltValue="Rg5KsYb2QeT/5GurIFe5tw==" spinCount="100000" sheet="1" objects="1" scenarios="1"/>
  <mergeCells count="1">
    <mergeCell ref="A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</sheetPr>
  <dimension ref="A1:T84"/>
  <sheetViews>
    <sheetView zoomScale="80" zoomScaleNormal="80" workbookViewId="0">
      <selection activeCell="B74" sqref="B74"/>
    </sheetView>
  </sheetViews>
  <sheetFormatPr defaultRowHeight="15"/>
  <cols>
    <col min="1" max="1" width="18.109375" customWidth="1"/>
    <col min="2" max="2" width="9.77734375" customWidth="1"/>
    <col min="3" max="3" width="14" customWidth="1"/>
    <col min="4" max="4" width="8.77734375" style="70" customWidth="1"/>
    <col min="5" max="5" width="14" style="70" customWidth="1"/>
    <col min="6" max="6" width="11.21875" style="70" bestFit="1" customWidth="1"/>
    <col min="7" max="8" width="12.21875" style="70" customWidth="1"/>
    <col min="9" max="9" width="54" customWidth="1"/>
    <col min="10" max="10" width="13.109375" hidden="1" customWidth="1"/>
    <col min="11" max="11" width="35.6640625" hidden="1" customWidth="1"/>
    <col min="12" max="14" width="36.21875" hidden="1" customWidth="1"/>
    <col min="15" max="15" width="37.21875" hidden="1" customWidth="1"/>
    <col min="16" max="16" width="36.6640625" hidden="1" customWidth="1"/>
    <col min="17" max="17" width="37.21875" hidden="1" customWidth="1"/>
    <col min="18" max="18" width="38.88671875" hidden="1" customWidth="1"/>
    <col min="19" max="19" width="39" hidden="1" customWidth="1"/>
    <col min="20" max="20" width="46.44140625" hidden="1" customWidth="1"/>
    <col min="21" max="22" width="10.77734375" customWidth="1"/>
  </cols>
  <sheetData>
    <row r="1" spans="1:20">
      <c r="A1" t="s">
        <v>1857</v>
      </c>
    </row>
    <row r="2" spans="1:20">
      <c r="A2" s="584" t="s">
        <v>1855</v>
      </c>
      <c r="B2" s="128"/>
      <c r="C2" s="128"/>
      <c r="D2" s="128"/>
    </row>
    <row r="3" spans="1:20" ht="15.75">
      <c r="A3" s="554" t="s">
        <v>212</v>
      </c>
      <c r="B3" s="555" t="s">
        <v>211</v>
      </c>
      <c r="C3" s="554" t="s">
        <v>1856</v>
      </c>
      <c r="D3" s="555" t="s">
        <v>3</v>
      </c>
      <c r="E3" s="555" t="s">
        <v>1799</v>
      </c>
      <c r="F3" s="555" t="s">
        <v>1800</v>
      </c>
      <c r="G3" s="556" t="s">
        <v>1843</v>
      </c>
      <c r="H3" s="555" t="s">
        <v>1798</v>
      </c>
      <c r="I3" s="555" t="s">
        <v>226</v>
      </c>
      <c r="J3" s="126" t="s">
        <v>211</v>
      </c>
      <c r="K3" s="126" t="s">
        <v>212</v>
      </c>
      <c r="L3" s="126"/>
      <c r="M3" s="126" t="s">
        <v>225</v>
      </c>
      <c r="N3" s="126" t="s">
        <v>144</v>
      </c>
      <c r="O3" s="126" t="s">
        <v>144</v>
      </c>
      <c r="P3" s="126" t="s">
        <v>213</v>
      </c>
      <c r="Q3" s="126" t="s">
        <v>7</v>
      </c>
      <c r="R3" s="126" t="s">
        <v>5</v>
      </c>
      <c r="S3" s="126" t="s">
        <v>215</v>
      </c>
    </row>
    <row r="4" spans="1:20">
      <c r="A4" s="557" t="str">
        <f>IF('Mix Info'!B4="","",'Mix Info'!B4)</f>
        <v/>
      </c>
      <c r="B4" s="553" t="str">
        <f>IF(A4="","", VLOOKUP(A4,K5:L19,2,FALSE))</f>
        <v/>
      </c>
      <c r="C4" s="585" t="str">
        <f>IF('Mix Info'!B6="","",'Mix Info'!B6)</f>
        <v/>
      </c>
      <c r="D4" s="599" t="str">
        <f>IF(AND('Mix Info'!B8="",'Mix Info'!C8=""),"", IF('Mix Info'!B8&lt;&gt;"", VLOOKUP('Mix Info'!B7,CEMENT!A4:F65,6,FALSE), VLOOKUP('Mix Info'!C8,CEMENT!D4:F65,3,FALSE)))</f>
        <v/>
      </c>
      <c r="E4" s="127" t="str">
        <f>IF(A4="","",VLOOKUP(A4,A38:G99,3,FALSE))</f>
        <v/>
      </c>
      <c r="F4" s="127" t="str">
        <f>IF(A4="","",VLOOKUP(A4,A38:G99,4,FALSE))</f>
        <v/>
      </c>
      <c r="G4" s="529" t="str">
        <f>IF(A4="","",VLOOKUP(A4,A38:G99,5,FALSE))</f>
        <v/>
      </c>
      <c r="H4" s="127" t="str">
        <f>IF(A4="","",VLOOKUP(A4,A38:G99,6,FALSE))</f>
        <v/>
      </c>
      <c r="I4" s="553" t="str">
        <f>IF(A4="","",VLOOKUP(A4,A38:G99,7,FALSE))</f>
        <v/>
      </c>
      <c r="J4">
        <v>2412</v>
      </c>
      <c r="O4" t="s">
        <v>217</v>
      </c>
      <c r="P4">
        <v>20</v>
      </c>
      <c r="Q4">
        <v>0</v>
      </c>
      <c r="R4">
        <v>50</v>
      </c>
      <c r="S4" t="s">
        <v>221</v>
      </c>
      <c r="T4" t="s">
        <v>227</v>
      </c>
    </row>
    <row r="5" spans="1:20">
      <c r="J5">
        <v>2403</v>
      </c>
      <c r="K5" t="s">
        <v>224</v>
      </c>
      <c r="L5">
        <v>2513</v>
      </c>
      <c r="M5" t="s">
        <v>221</v>
      </c>
      <c r="N5" t="s">
        <v>228</v>
      </c>
      <c r="O5" t="s">
        <v>228</v>
      </c>
      <c r="P5">
        <v>20</v>
      </c>
      <c r="Q5">
        <v>35</v>
      </c>
      <c r="R5">
        <v>50</v>
      </c>
      <c r="S5" t="s">
        <v>216</v>
      </c>
      <c r="T5" t="s">
        <v>216</v>
      </c>
    </row>
    <row r="6" spans="1:20">
      <c r="J6">
        <v>2403</v>
      </c>
      <c r="K6" t="s">
        <v>218</v>
      </c>
      <c r="L6">
        <v>2412</v>
      </c>
      <c r="M6" t="s">
        <v>220</v>
      </c>
      <c r="N6" t="s">
        <v>1833</v>
      </c>
      <c r="O6" t="s">
        <v>217</v>
      </c>
      <c r="P6">
        <v>20</v>
      </c>
      <c r="Q6">
        <v>0</v>
      </c>
      <c r="R6">
        <v>50</v>
      </c>
      <c r="S6" t="s">
        <v>216</v>
      </c>
      <c r="T6" t="s">
        <v>2217</v>
      </c>
    </row>
    <row r="7" spans="1:20">
      <c r="J7">
        <v>2301</v>
      </c>
      <c r="K7" t="s">
        <v>222</v>
      </c>
      <c r="L7">
        <v>2413</v>
      </c>
      <c r="N7" t="s">
        <v>1834</v>
      </c>
      <c r="O7" t="s">
        <v>228</v>
      </c>
      <c r="P7">
        <v>20</v>
      </c>
      <c r="Q7">
        <v>35</v>
      </c>
      <c r="R7">
        <v>40</v>
      </c>
      <c r="S7" t="s">
        <v>219</v>
      </c>
      <c r="T7" t="s">
        <v>1797</v>
      </c>
    </row>
    <row r="8" spans="1:20">
      <c r="J8">
        <v>2412</v>
      </c>
      <c r="K8" t="s">
        <v>209</v>
      </c>
      <c r="L8">
        <v>2301</v>
      </c>
      <c r="O8" t="s">
        <v>228</v>
      </c>
      <c r="P8">
        <v>20</v>
      </c>
      <c r="Q8">
        <v>35</v>
      </c>
      <c r="R8">
        <v>50</v>
      </c>
      <c r="S8" t="s">
        <v>221</v>
      </c>
    </row>
    <row r="9" spans="1:20" ht="27.75">
      <c r="B9" s="550"/>
      <c r="J9">
        <v>2301</v>
      </c>
      <c r="K9" t="s">
        <v>223</v>
      </c>
      <c r="L9">
        <v>2413</v>
      </c>
      <c r="O9" t="s">
        <v>214</v>
      </c>
      <c r="P9">
        <v>20</v>
      </c>
      <c r="Q9">
        <v>0</v>
      </c>
      <c r="R9">
        <v>40</v>
      </c>
      <c r="S9" t="s">
        <v>219</v>
      </c>
    </row>
    <row r="10" spans="1:20">
      <c r="J10">
        <v>2412</v>
      </c>
      <c r="K10" t="s">
        <v>210</v>
      </c>
      <c r="L10">
        <v>2403</v>
      </c>
      <c r="O10" t="s">
        <v>229</v>
      </c>
      <c r="P10">
        <v>0</v>
      </c>
      <c r="Q10">
        <v>0</v>
      </c>
      <c r="S10" t="s">
        <v>220</v>
      </c>
    </row>
    <row r="11" spans="1:20">
      <c r="J11">
        <v>2413</v>
      </c>
      <c r="K11" t="s">
        <v>2031</v>
      </c>
      <c r="L11">
        <v>2433</v>
      </c>
      <c r="O11" t="s">
        <v>229</v>
      </c>
      <c r="P11">
        <v>0</v>
      </c>
      <c r="Q11">
        <v>0</v>
      </c>
    </row>
    <row r="12" spans="1:20">
      <c r="J12">
        <v>2413</v>
      </c>
      <c r="K12" t="s">
        <v>1796</v>
      </c>
      <c r="L12" s="549" t="s">
        <v>2034</v>
      </c>
      <c r="O12" t="s">
        <v>228</v>
      </c>
      <c r="P12">
        <v>20</v>
      </c>
      <c r="Q12">
        <v>25</v>
      </c>
    </row>
    <row r="13" spans="1:20">
      <c r="J13">
        <v>2413</v>
      </c>
      <c r="K13" t="s">
        <v>1831</v>
      </c>
      <c r="L13" s="549" t="s">
        <v>2035</v>
      </c>
      <c r="O13" t="s">
        <v>217</v>
      </c>
      <c r="P13">
        <v>20</v>
      </c>
      <c r="Q13">
        <v>0</v>
      </c>
    </row>
    <row r="14" spans="1:20">
      <c r="J14">
        <v>2513</v>
      </c>
      <c r="O14" t="s">
        <v>228</v>
      </c>
      <c r="P14">
        <v>20</v>
      </c>
      <c r="Q14">
        <v>35</v>
      </c>
      <c r="R14">
        <v>50</v>
      </c>
      <c r="S14" t="s">
        <v>221</v>
      </c>
    </row>
    <row r="15" spans="1:20">
      <c r="J15">
        <v>2513</v>
      </c>
      <c r="O15" t="s">
        <v>217</v>
      </c>
      <c r="P15">
        <v>20</v>
      </c>
      <c r="Q15">
        <v>0</v>
      </c>
      <c r="R15">
        <v>50</v>
      </c>
      <c r="S15" t="s">
        <v>221</v>
      </c>
    </row>
    <row r="16" spans="1:20">
      <c r="J16">
        <v>2513</v>
      </c>
      <c r="O16" t="s">
        <v>228</v>
      </c>
      <c r="P16">
        <v>20</v>
      </c>
      <c r="Q16">
        <v>0</v>
      </c>
      <c r="R16">
        <v>20</v>
      </c>
      <c r="S16" t="s">
        <v>220</v>
      </c>
    </row>
    <row r="17" spans="10:19">
      <c r="J17">
        <v>2513</v>
      </c>
      <c r="O17" t="s">
        <v>217</v>
      </c>
      <c r="P17">
        <v>0</v>
      </c>
      <c r="Q17">
        <v>0</v>
      </c>
      <c r="S17" t="s">
        <v>220</v>
      </c>
    </row>
    <row r="18" spans="10:19">
      <c r="J18" t="s">
        <v>1866</v>
      </c>
      <c r="O18" t="s">
        <v>228</v>
      </c>
      <c r="P18">
        <v>20</v>
      </c>
      <c r="Q18">
        <v>30</v>
      </c>
    </row>
    <row r="19" spans="10:19">
      <c r="J19" t="s">
        <v>1866</v>
      </c>
      <c r="O19" t="s">
        <v>217</v>
      </c>
      <c r="P19">
        <v>20</v>
      </c>
      <c r="Q19">
        <v>0</v>
      </c>
    </row>
    <row r="20" spans="10:19">
      <c r="J20" t="s">
        <v>1832</v>
      </c>
      <c r="O20" t="s">
        <v>228</v>
      </c>
      <c r="P20" s="549" t="s">
        <v>1836</v>
      </c>
      <c r="Q20">
        <v>70</v>
      </c>
      <c r="R20">
        <v>70</v>
      </c>
      <c r="S20" t="s">
        <v>1835</v>
      </c>
    </row>
    <row r="21" spans="10:19">
      <c r="J21" t="s">
        <v>1832</v>
      </c>
      <c r="O21" t="s">
        <v>217</v>
      </c>
      <c r="P21" s="549" t="s">
        <v>1836</v>
      </c>
      <c r="Q21">
        <v>0</v>
      </c>
      <c r="R21">
        <v>70</v>
      </c>
      <c r="S21" t="s">
        <v>1835</v>
      </c>
    </row>
    <row r="38" spans="1:7">
      <c r="A38" s="566" t="s">
        <v>1850</v>
      </c>
      <c r="B38" s="567">
        <v>2513</v>
      </c>
      <c r="C38" s="567" t="s">
        <v>1839</v>
      </c>
      <c r="D38" s="567" t="s">
        <v>146</v>
      </c>
      <c r="E38" s="567" t="s">
        <v>1840</v>
      </c>
      <c r="F38" s="567" t="s">
        <v>5</v>
      </c>
    </row>
    <row r="39" spans="1:7">
      <c r="A39" s="173" t="str">
        <f>IF(AND(A4=K5, C4=M5, D4=N5),A4,"")</f>
        <v/>
      </c>
      <c r="B39" s="173"/>
      <c r="C39" s="558">
        <v>20</v>
      </c>
      <c r="D39" s="558">
        <v>35</v>
      </c>
      <c r="E39" s="558">
        <v>0</v>
      </c>
      <c r="F39" s="558">
        <v>50</v>
      </c>
      <c r="G39" s="70" t="s">
        <v>1828</v>
      </c>
    </row>
    <row r="40" spans="1:7">
      <c r="A40" s="173" t="str">
        <f>IF(AND(A4=K5, C4=M5, D4=N6),A4,"")</f>
        <v/>
      </c>
      <c r="B40" s="173"/>
      <c r="C40" s="558">
        <v>20</v>
      </c>
      <c r="D40" s="558">
        <v>0</v>
      </c>
      <c r="E40" s="558">
        <v>0</v>
      </c>
      <c r="F40" s="558">
        <v>50</v>
      </c>
      <c r="G40" s="70" t="s">
        <v>1828</v>
      </c>
    </row>
    <row r="41" spans="1:7">
      <c r="A41" s="173" t="str">
        <f>IF(AND(A4=K5, C4=M6, D4=N5),A4,"")</f>
        <v/>
      </c>
      <c r="B41" s="173"/>
      <c r="C41" s="558">
        <v>20</v>
      </c>
      <c r="D41" s="558">
        <v>0</v>
      </c>
      <c r="E41" s="558">
        <v>0</v>
      </c>
      <c r="F41" s="558">
        <v>50</v>
      </c>
      <c r="G41" s="163" t="s">
        <v>1845</v>
      </c>
    </row>
    <row r="42" spans="1:7">
      <c r="A42" s="173" t="str">
        <f>IF(AND(A4=K5, C4=M6, D4=N6),A4,"")</f>
        <v/>
      </c>
      <c r="B42" s="173"/>
      <c r="C42" s="558">
        <v>0</v>
      </c>
      <c r="D42" s="558">
        <v>0</v>
      </c>
      <c r="E42" s="558">
        <v>0</v>
      </c>
      <c r="F42" s="558">
        <v>50</v>
      </c>
      <c r="G42" s="163" t="s">
        <v>1845</v>
      </c>
    </row>
    <row r="44" spans="1:7">
      <c r="A44" s="564" t="s">
        <v>1848</v>
      </c>
      <c r="B44" s="565">
        <v>2412</v>
      </c>
      <c r="C44" s="565" t="s">
        <v>1839</v>
      </c>
      <c r="D44" s="565" t="s">
        <v>146</v>
      </c>
      <c r="E44" s="565" t="s">
        <v>1840</v>
      </c>
      <c r="F44" s="565" t="s">
        <v>5</v>
      </c>
    </row>
    <row r="45" spans="1:7">
      <c r="A45" s="559" t="str">
        <f>IF(AND(A4=K6, C4=M5, D4=N5),A4,"")</f>
        <v/>
      </c>
      <c r="B45" s="559"/>
      <c r="C45" s="560">
        <v>20</v>
      </c>
      <c r="D45" s="560">
        <v>35</v>
      </c>
      <c r="E45" s="560">
        <v>0</v>
      </c>
      <c r="F45" s="560">
        <v>50</v>
      </c>
      <c r="G45" s="70" t="s">
        <v>1828</v>
      </c>
    </row>
    <row r="46" spans="1:7">
      <c r="A46" s="559" t="str">
        <f>IF(AND(A4=K6, C4=M5, D4=N6),A4,"")</f>
        <v/>
      </c>
      <c r="B46" s="559"/>
      <c r="C46" s="560">
        <v>20</v>
      </c>
      <c r="D46" s="560">
        <v>0</v>
      </c>
      <c r="E46" s="560">
        <v>0</v>
      </c>
      <c r="F46" s="560">
        <v>50</v>
      </c>
      <c r="G46" s="70" t="s">
        <v>1828</v>
      </c>
    </row>
    <row r="47" spans="1:7">
      <c r="A47" s="559" t="str">
        <f>IF(AND(A4=K6, C4=M6, D4=N5),A4,"")</f>
        <v/>
      </c>
      <c r="B47" s="559"/>
      <c r="C47" s="560">
        <v>0</v>
      </c>
      <c r="D47" s="560">
        <v>0</v>
      </c>
      <c r="E47" s="560">
        <v>0</v>
      </c>
      <c r="F47" s="560">
        <v>50</v>
      </c>
      <c r="G47" s="163" t="s">
        <v>1845</v>
      </c>
    </row>
    <row r="48" spans="1:7">
      <c r="A48" s="559" t="str">
        <f>IF(AND(A4=K6, C4=M6, D4=N6),A4,"")</f>
        <v/>
      </c>
      <c r="B48" s="559"/>
      <c r="C48" s="560">
        <v>0</v>
      </c>
      <c r="D48" s="560">
        <v>0</v>
      </c>
      <c r="E48" s="560">
        <v>0</v>
      </c>
      <c r="F48" s="560">
        <v>50</v>
      </c>
      <c r="G48" s="163" t="s">
        <v>1845</v>
      </c>
    </row>
    <row r="50" spans="1:7">
      <c r="A50" s="562" t="s">
        <v>1851</v>
      </c>
      <c r="B50" s="563">
        <v>2413</v>
      </c>
      <c r="C50" s="563" t="s">
        <v>1839</v>
      </c>
      <c r="D50" s="563" t="s">
        <v>146</v>
      </c>
      <c r="E50" s="563" t="s">
        <v>1840</v>
      </c>
      <c r="F50" s="563" t="s">
        <v>5</v>
      </c>
    </row>
    <row r="51" spans="1:7">
      <c r="A51" s="561" t="str">
        <f>IF(A4=K7,A4,"")</f>
        <v/>
      </c>
      <c r="B51" s="561"/>
      <c r="C51" s="561">
        <v>20</v>
      </c>
      <c r="D51" s="561">
        <v>0</v>
      </c>
      <c r="E51" s="561">
        <v>0</v>
      </c>
      <c r="F51" s="561">
        <v>20</v>
      </c>
      <c r="G51" s="70" t="s">
        <v>1828</v>
      </c>
    </row>
    <row r="52" spans="1:7">
      <c r="A52" s="163"/>
      <c r="B52" s="163"/>
      <c r="C52" s="163"/>
      <c r="D52" s="163"/>
      <c r="E52" s="163"/>
      <c r="F52" s="163"/>
    </row>
    <row r="53" spans="1:7">
      <c r="A53" s="569" t="s">
        <v>1852</v>
      </c>
      <c r="B53" s="570">
        <v>2413</v>
      </c>
      <c r="C53" s="570" t="s">
        <v>1839</v>
      </c>
      <c r="D53" s="570" t="s">
        <v>146</v>
      </c>
      <c r="E53" s="570" t="s">
        <v>1840</v>
      </c>
      <c r="F53" s="570" t="s">
        <v>5</v>
      </c>
    </row>
    <row r="54" spans="1:7">
      <c r="A54" s="568" t="str">
        <f>IF(AND(A4=K9, D4=N5, OR(C4=M5,C4=M6)),A4,"")</f>
        <v/>
      </c>
      <c r="B54" s="568"/>
      <c r="C54" s="568">
        <v>20</v>
      </c>
      <c r="D54" s="568">
        <v>35</v>
      </c>
      <c r="E54" s="568">
        <v>25</v>
      </c>
      <c r="F54" s="568">
        <v>50</v>
      </c>
      <c r="G54" s="163" t="s">
        <v>2218</v>
      </c>
    </row>
    <row r="55" spans="1:7">
      <c r="A55" s="568" t="str">
        <f>IF(AND(A4=K9, D4=N6, OR(C4=M5,C4=M6)),A4,"")</f>
        <v/>
      </c>
      <c r="B55" s="568"/>
      <c r="C55" s="568">
        <v>20</v>
      </c>
      <c r="D55" s="568">
        <v>0</v>
      </c>
      <c r="E55" s="568">
        <v>0</v>
      </c>
      <c r="F55" s="568">
        <v>50</v>
      </c>
      <c r="G55" s="163" t="s">
        <v>2218</v>
      </c>
    </row>
    <row r="57" spans="1:7">
      <c r="A57" s="572" t="s">
        <v>1853</v>
      </c>
      <c r="B57" s="573">
        <v>2301</v>
      </c>
      <c r="C57" s="573" t="s">
        <v>1841</v>
      </c>
      <c r="D57" s="573" t="s">
        <v>146</v>
      </c>
      <c r="E57" s="573" t="s">
        <v>1840</v>
      </c>
      <c r="F57" s="573" t="s">
        <v>1842</v>
      </c>
    </row>
    <row r="58" spans="1:7">
      <c r="A58" s="571" t="str">
        <f>IF(AND(A4=K8,C4=M5,D4=N5),A4,"")</f>
        <v/>
      </c>
      <c r="B58" s="571"/>
      <c r="C58" s="571">
        <v>20</v>
      </c>
      <c r="D58" s="571">
        <v>35</v>
      </c>
      <c r="E58" s="571">
        <v>0</v>
      </c>
      <c r="F58" s="571">
        <v>50</v>
      </c>
      <c r="G58" s="70" t="s">
        <v>1828</v>
      </c>
    </row>
    <row r="59" spans="1:7">
      <c r="A59" s="571" t="str">
        <f>IF(AND(A4=K8,C4=M5,D4=N6),A4,"")</f>
        <v/>
      </c>
      <c r="B59" s="571"/>
      <c r="C59" s="571">
        <v>20</v>
      </c>
      <c r="D59" s="571">
        <v>0</v>
      </c>
      <c r="E59" s="571">
        <v>0</v>
      </c>
      <c r="F59" s="571">
        <v>50</v>
      </c>
      <c r="G59" s="70" t="s">
        <v>1828</v>
      </c>
    </row>
    <row r="60" spans="1:7">
      <c r="A60" s="571" t="str">
        <f>IF(AND(A4=K8,C4=M6,D4=N5),A4,"")</f>
        <v/>
      </c>
      <c r="B60" s="571"/>
      <c r="C60" s="571">
        <v>20</v>
      </c>
      <c r="D60" s="571">
        <v>35</v>
      </c>
      <c r="E60" s="571">
        <v>0</v>
      </c>
      <c r="F60" s="571">
        <v>50</v>
      </c>
      <c r="G60" s="163" t="s">
        <v>1844</v>
      </c>
    </row>
    <row r="61" spans="1:7">
      <c r="A61" s="571" t="str">
        <f>IF(AND(A4=K8,C4=M6,D4=N6),A4,"")</f>
        <v/>
      </c>
      <c r="B61" s="571"/>
      <c r="C61" s="571">
        <v>20</v>
      </c>
      <c r="D61" s="571">
        <v>0</v>
      </c>
      <c r="E61" s="571">
        <v>0</v>
      </c>
      <c r="F61" s="571">
        <v>50</v>
      </c>
      <c r="G61" s="163" t="s">
        <v>1844</v>
      </c>
    </row>
    <row r="63" spans="1:7">
      <c r="A63" s="575" t="s">
        <v>1854</v>
      </c>
      <c r="B63" s="576">
        <v>2403</v>
      </c>
      <c r="C63" s="576" t="s">
        <v>1841</v>
      </c>
      <c r="D63" s="576" t="s">
        <v>146</v>
      </c>
      <c r="E63" s="576" t="s">
        <v>1840</v>
      </c>
      <c r="F63" s="576" t="s">
        <v>5</v>
      </c>
    </row>
    <row r="64" spans="1:7">
      <c r="A64" s="574" t="str">
        <f>IF(AND(A4=K10,C4=M5,D4=N5),A4,"")</f>
        <v/>
      </c>
      <c r="B64" s="574"/>
      <c r="C64" s="574">
        <v>20</v>
      </c>
      <c r="D64" s="574">
        <v>35</v>
      </c>
      <c r="E64" s="574">
        <v>0</v>
      </c>
      <c r="F64" s="574">
        <v>50</v>
      </c>
      <c r="G64" s="70" t="s">
        <v>1828</v>
      </c>
    </row>
    <row r="65" spans="1:7">
      <c r="A65" s="574" t="str">
        <f>IF(AND(A4=K10,C4=M5,D4=N6),A4,"")</f>
        <v/>
      </c>
      <c r="B65" s="574"/>
      <c r="C65" s="574">
        <v>20</v>
      </c>
      <c r="D65" s="574">
        <v>0</v>
      </c>
      <c r="E65" s="574">
        <v>0</v>
      </c>
      <c r="F65" s="574">
        <v>50</v>
      </c>
      <c r="G65" s="70" t="s">
        <v>1828</v>
      </c>
    </row>
    <row r="66" spans="1:7">
      <c r="A66" s="574" t="str">
        <f>IF(AND(A4=K10,C4=M6,D4=N5),A4,"")</f>
        <v/>
      </c>
      <c r="B66" s="574"/>
      <c r="C66" s="574">
        <v>20</v>
      </c>
      <c r="D66" s="574">
        <v>35</v>
      </c>
      <c r="E66" s="574">
        <v>0</v>
      </c>
      <c r="F66" s="574">
        <v>50</v>
      </c>
      <c r="G66" s="163" t="s">
        <v>1845</v>
      </c>
    </row>
    <row r="67" spans="1:7">
      <c r="A67" s="574" t="str">
        <f>IF(AND(A4=K10,C4=M6,D4=N6),A4,"")</f>
        <v/>
      </c>
      <c r="B67" s="574"/>
      <c r="C67" s="574">
        <v>20</v>
      </c>
      <c r="D67" s="574">
        <v>0</v>
      </c>
      <c r="E67" s="574">
        <v>0</v>
      </c>
      <c r="F67" s="574">
        <v>50</v>
      </c>
      <c r="G67" s="163" t="s">
        <v>1845</v>
      </c>
    </row>
    <row r="69" spans="1:7">
      <c r="A69" s="579" t="s">
        <v>1932</v>
      </c>
      <c r="B69" s="580" t="s">
        <v>2219</v>
      </c>
      <c r="C69" s="580" t="s">
        <v>1839</v>
      </c>
      <c r="D69" s="580" t="s">
        <v>146</v>
      </c>
      <c r="E69" s="580" t="s">
        <v>1840</v>
      </c>
      <c r="F69" s="580" t="s">
        <v>5</v>
      </c>
    </row>
    <row r="70" spans="1:7">
      <c r="A70" s="577" t="str">
        <f>IF(AND(A4=K12,C4=M5,D4=N5),A4,"")</f>
        <v/>
      </c>
      <c r="B70" s="578"/>
      <c r="C70" s="578">
        <v>20</v>
      </c>
      <c r="D70" s="578">
        <v>35</v>
      </c>
      <c r="E70" s="578">
        <v>30</v>
      </c>
      <c r="F70" s="578">
        <v>50</v>
      </c>
      <c r="G70" s="70" t="s">
        <v>1828</v>
      </c>
    </row>
    <row r="71" spans="1:7">
      <c r="A71" s="578" t="str">
        <f>IF(AND(A4=K12,C4=M5,D4=N6),A4,"")</f>
        <v/>
      </c>
      <c r="B71" s="578"/>
      <c r="C71" s="578">
        <v>20</v>
      </c>
      <c r="D71" s="578">
        <v>0</v>
      </c>
      <c r="E71" s="578">
        <v>0</v>
      </c>
      <c r="F71" s="578">
        <v>50</v>
      </c>
      <c r="G71" s="70" t="s">
        <v>1828</v>
      </c>
    </row>
    <row r="72" spans="1:7">
      <c r="A72" s="578" t="str">
        <f>IF(AND(A4=K12,C4=M6,D4=N5),A4,"")</f>
        <v/>
      </c>
      <c r="B72" s="578"/>
      <c r="C72" s="578">
        <v>20</v>
      </c>
      <c r="D72" s="578">
        <v>35</v>
      </c>
      <c r="E72" s="578">
        <v>30</v>
      </c>
      <c r="F72" s="578">
        <v>50</v>
      </c>
      <c r="G72" s="163" t="s">
        <v>1845</v>
      </c>
    </row>
    <row r="73" spans="1:7">
      <c r="A73" s="578" t="str">
        <f>IF(AND(A4=K12,C4=M6,D4=N6),A4,"")</f>
        <v/>
      </c>
      <c r="B73" s="578"/>
      <c r="C73" s="578">
        <v>20</v>
      </c>
      <c r="D73" s="578">
        <v>0</v>
      </c>
      <c r="E73" s="578">
        <v>0</v>
      </c>
      <c r="F73" s="578">
        <v>50</v>
      </c>
      <c r="G73" s="163" t="s">
        <v>1845</v>
      </c>
    </row>
    <row r="75" spans="1:7">
      <c r="A75" s="582" t="s">
        <v>1849</v>
      </c>
      <c r="B75" s="583" t="s">
        <v>2035</v>
      </c>
      <c r="C75" s="583" t="s">
        <v>1839</v>
      </c>
      <c r="D75" s="583" t="s">
        <v>146</v>
      </c>
      <c r="E75" s="583" t="s">
        <v>1840</v>
      </c>
      <c r="F75" s="583" t="s">
        <v>5</v>
      </c>
    </row>
    <row r="76" spans="1:7">
      <c r="A76" s="581" t="str">
        <f>IF(AND(A4=K13,C4=M5,D4=N5),A4,"")</f>
        <v/>
      </c>
      <c r="B76" s="581"/>
      <c r="C76" s="581" t="s">
        <v>1847</v>
      </c>
      <c r="D76" s="581">
        <v>70</v>
      </c>
      <c r="E76" s="581">
        <v>0</v>
      </c>
      <c r="F76" s="581" t="s">
        <v>1846</v>
      </c>
      <c r="G76" t="s">
        <v>2123</v>
      </c>
    </row>
    <row r="77" spans="1:7">
      <c r="A77" s="581" t="str">
        <f>IF(AND(A4=K13,C4=M5,D4=N6),A4,"")</f>
        <v/>
      </c>
      <c r="B77" s="581"/>
      <c r="C77" s="581" t="s">
        <v>1847</v>
      </c>
      <c r="D77" s="581">
        <v>70</v>
      </c>
      <c r="E77" s="581">
        <v>0</v>
      </c>
      <c r="F77" s="581" t="s">
        <v>1846</v>
      </c>
      <c r="G77" t="s">
        <v>2123</v>
      </c>
    </row>
    <row r="78" spans="1:7">
      <c r="A78" s="581" t="str">
        <f>IF(AND(A4=K13,C4=M6,D4=N5),A4,"")</f>
        <v/>
      </c>
      <c r="B78" s="581"/>
      <c r="C78" s="581" t="s">
        <v>1847</v>
      </c>
      <c r="D78" s="581">
        <v>70</v>
      </c>
      <c r="E78" s="581">
        <v>0</v>
      </c>
      <c r="F78" s="581" t="s">
        <v>1846</v>
      </c>
      <c r="G78" t="s">
        <v>2123</v>
      </c>
    </row>
    <row r="79" spans="1:7">
      <c r="A79" s="581" t="str">
        <f>IF(AND(A4=K13,C4=M6,D4=N6),A4,"")</f>
        <v/>
      </c>
      <c r="B79" s="581"/>
      <c r="C79" s="581" t="s">
        <v>1847</v>
      </c>
      <c r="D79" s="581">
        <v>70</v>
      </c>
      <c r="E79" s="581">
        <v>0</v>
      </c>
      <c r="F79" s="581" t="s">
        <v>1846</v>
      </c>
      <c r="G79" t="s">
        <v>2123</v>
      </c>
    </row>
    <row r="81" spans="1:7">
      <c r="A81" s="622" t="s">
        <v>2032</v>
      </c>
      <c r="B81" s="622">
        <v>2433</v>
      </c>
      <c r="C81" s="622" t="s">
        <v>1839</v>
      </c>
      <c r="D81" s="622" t="s">
        <v>146</v>
      </c>
      <c r="E81" s="622" t="s">
        <v>2033</v>
      </c>
      <c r="F81" s="622" t="s">
        <v>5</v>
      </c>
      <c r="G81" s="163" t="s">
        <v>2122</v>
      </c>
    </row>
    <row r="82" spans="1:7">
      <c r="A82" s="621" t="str">
        <f>IF(AND(A4=K11,C4=M5,D4=N5),A4,"")</f>
        <v/>
      </c>
      <c r="B82" s="621"/>
      <c r="C82" s="621">
        <v>20</v>
      </c>
      <c r="D82" s="621">
        <v>35</v>
      </c>
      <c r="E82" s="621">
        <v>0</v>
      </c>
      <c r="F82" s="621">
        <v>50</v>
      </c>
      <c r="G82" s="163" t="s">
        <v>2122</v>
      </c>
    </row>
    <row r="83" spans="1:7">
      <c r="A83" s="621" t="str">
        <f>IF(AND(A4=K11,C4=M5,D4=N6),A4,"")</f>
        <v/>
      </c>
      <c r="B83" s="621"/>
      <c r="C83" s="621">
        <v>20</v>
      </c>
      <c r="D83" s="621">
        <v>0</v>
      </c>
      <c r="E83" s="621">
        <v>0</v>
      </c>
      <c r="F83" s="621">
        <v>50</v>
      </c>
      <c r="G83" s="163" t="s">
        <v>2122</v>
      </c>
    </row>
    <row r="84" spans="1:7">
      <c r="A84" s="621" t="str">
        <f>IF(AND(A4=K11,C4=M6),A4,"")</f>
        <v/>
      </c>
      <c r="B84" s="621"/>
      <c r="C84" s="621">
        <v>0</v>
      </c>
      <c r="D84" s="621">
        <v>0</v>
      </c>
      <c r="E84" s="621">
        <v>0</v>
      </c>
      <c r="F84" s="621">
        <v>50</v>
      </c>
      <c r="G84" s="163" t="s">
        <v>2122</v>
      </c>
    </row>
  </sheetData>
  <sheetProtection algorithmName="SHA-512" hashValue="J9UdePpA1oJOUWbzuJc2aFdS+04EpPdCNJxqzHPc7sL69Od/33/NxqhipBQiWoE1M+4o/fEwlV6k9ApgvNBYEw==" saltValue="ehniHvUouykUZXcHs7UQQQ==" spinCount="100000" sheet="1" objects="1" scenarios="1"/>
  <phoneticPr fontId="20" type="noConversion"/>
  <pageMargins left="0.7" right="0.7" top="0.75" bottom="0.75" header="0.3" footer="0.3"/>
  <pageSetup orientation="portrait" horizontalDpi="4294967294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8724A-B58B-41CB-AEE0-CFDA51D6FA6E}">
  <sheetPr codeName="Sheet22"/>
  <dimension ref="A1:C68"/>
  <sheetViews>
    <sheetView workbookViewId="0">
      <selection sqref="A1:C68"/>
    </sheetView>
  </sheetViews>
  <sheetFormatPr defaultRowHeight="15"/>
  <cols>
    <col min="1" max="1" width="32" bestFit="1" customWidth="1"/>
    <col min="2" max="2" width="18.77734375" bestFit="1" customWidth="1"/>
    <col min="3" max="3" width="16.109375" bestFit="1" customWidth="1"/>
  </cols>
  <sheetData>
    <row r="1" spans="1:3" ht="15" customHeight="1">
      <c r="A1" s="725" t="s">
        <v>1637</v>
      </c>
      <c r="B1" s="725"/>
      <c r="C1" s="725"/>
    </row>
    <row r="2" spans="1:3" ht="15" customHeight="1">
      <c r="A2" s="725"/>
      <c r="B2" s="725"/>
      <c r="C2" s="725"/>
    </row>
    <row r="3" spans="1:3">
      <c r="A3" s="462"/>
      <c r="B3" s="462"/>
      <c r="C3" s="462"/>
    </row>
    <row r="4" spans="1:3">
      <c r="A4" s="462" t="str">
        <f>_xlfn.CONCAT(B4, "-", C4)</f>
        <v>ADVA 140M-CHRYSO Inc.</v>
      </c>
      <c r="B4" s="462" t="s">
        <v>1341</v>
      </c>
      <c r="C4" s="463" t="s">
        <v>2194</v>
      </c>
    </row>
    <row r="5" spans="1:3">
      <c r="A5" s="462" t="str">
        <f t="shared" ref="A5:A68" si="0">_xlfn.CONCAT(B5, "-", C5)</f>
        <v>ADVA 190-CHRYSO Inc.</v>
      </c>
      <c r="B5" s="462" t="s">
        <v>1342</v>
      </c>
      <c r="C5" s="463" t="s">
        <v>2194</v>
      </c>
    </row>
    <row r="6" spans="1:3">
      <c r="A6" s="462" t="str">
        <f t="shared" si="0"/>
        <v>ADVA 195-CHRYSO Inc.</v>
      </c>
      <c r="B6" s="462" t="s">
        <v>1343</v>
      </c>
      <c r="C6" s="463" t="s">
        <v>2194</v>
      </c>
    </row>
    <row r="7" spans="1:3">
      <c r="A7" s="462" t="str">
        <f t="shared" si="0"/>
        <v>ADVA 198-CHRYSO Inc.</v>
      </c>
      <c r="B7" s="462" t="s">
        <v>1344</v>
      </c>
      <c r="C7" s="463" t="s">
        <v>2194</v>
      </c>
    </row>
    <row r="8" spans="1:3">
      <c r="A8" s="462" t="str">
        <f t="shared" si="0"/>
        <v>ADVA 405-CHRYSO Inc.</v>
      </c>
      <c r="B8" s="462" t="s">
        <v>1345</v>
      </c>
      <c r="C8" s="463" t="s">
        <v>2194</v>
      </c>
    </row>
    <row r="9" spans="1:3">
      <c r="A9" s="462" t="str">
        <f t="shared" si="0"/>
        <v>ADVA Cast 555-CHRYSO Inc.</v>
      </c>
      <c r="B9" s="462" t="s">
        <v>1346</v>
      </c>
      <c r="C9" s="463" t="s">
        <v>2194</v>
      </c>
    </row>
    <row r="10" spans="1:3">
      <c r="A10" s="462" t="str">
        <f t="shared" si="0"/>
        <v>ADVA Cast 575-CHRYSO Inc.</v>
      </c>
      <c r="B10" s="462" t="s">
        <v>1347</v>
      </c>
      <c r="C10" s="463" t="s">
        <v>2194</v>
      </c>
    </row>
    <row r="11" spans="1:3">
      <c r="A11" s="462" t="str">
        <f t="shared" si="0"/>
        <v>ADVA Cast 585-CHRYSO Inc.</v>
      </c>
      <c r="B11" s="462" t="s">
        <v>1348</v>
      </c>
      <c r="C11" s="463" t="s">
        <v>2194</v>
      </c>
    </row>
    <row r="12" spans="1:3">
      <c r="A12" s="462" t="str">
        <f>_xlfn.CONCAT(B12, "-", C12)</f>
        <v>ADVA Cast 593-CHRYSO Inc.</v>
      </c>
      <c r="B12" s="462" t="s">
        <v>1919</v>
      </c>
      <c r="C12" s="463" t="s">
        <v>2194</v>
      </c>
    </row>
    <row r="13" spans="1:3">
      <c r="A13" s="462" t="str">
        <f t="shared" si="0"/>
        <v>ADVA Cast 600-CHRYSO Inc.</v>
      </c>
      <c r="B13" s="462" t="s">
        <v>1349</v>
      </c>
      <c r="C13" s="463" t="s">
        <v>2194</v>
      </c>
    </row>
    <row r="14" spans="1:3">
      <c r="A14" s="462" t="str">
        <f t="shared" si="0"/>
        <v>ADVA ITM750-CHRYSO Inc.</v>
      </c>
      <c r="B14" s="462" t="s">
        <v>1350</v>
      </c>
      <c r="C14" s="463" t="s">
        <v>2194</v>
      </c>
    </row>
    <row r="15" spans="1:3">
      <c r="A15" s="462" t="str">
        <f t="shared" si="0"/>
        <v>Chryso Fluid Optima 256-CHRYSO Inc.</v>
      </c>
      <c r="B15" s="462" t="s">
        <v>1305</v>
      </c>
      <c r="C15" s="463" t="s">
        <v>2194</v>
      </c>
    </row>
    <row r="16" spans="1:3">
      <c r="A16" s="462" t="str">
        <f t="shared" si="0"/>
        <v>Chryso Optima 249-CHRYSO Inc.</v>
      </c>
      <c r="B16" s="462" t="s">
        <v>2110</v>
      </c>
      <c r="C16" s="463" t="s">
        <v>2194</v>
      </c>
    </row>
    <row r="17" spans="1:3">
      <c r="A17" s="462" t="str">
        <f t="shared" si="0"/>
        <v>Clarena MC 2000-CHRYSO Inc.</v>
      </c>
      <c r="B17" s="462" t="s">
        <v>1306</v>
      </c>
      <c r="C17" s="463" t="s">
        <v>2194</v>
      </c>
    </row>
    <row r="18" spans="1:3">
      <c r="A18" s="462" t="str">
        <f t="shared" si="0"/>
        <v>Concera SA8080-CHRYSO Inc.</v>
      </c>
      <c r="B18" s="462" t="s">
        <v>1307</v>
      </c>
      <c r="C18" s="463" t="s">
        <v>2194</v>
      </c>
    </row>
    <row r="19" spans="1:3">
      <c r="A19" s="462" t="str">
        <f t="shared" si="0"/>
        <v>Daracem 19-CHRYSO Inc.</v>
      </c>
      <c r="B19" s="462" t="s">
        <v>1351</v>
      </c>
      <c r="C19" s="463" t="s">
        <v>2194</v>
      </c>
    </row>
    <row r="20" spans="1:3">
      <c r="A20" s="462" t="str">
        <f t="shared" si="0"/>
        <v>Dynamon 850-Mapei</v>
      </c>
      <c r="B20" s="462" t="s">
        <v>1988</v>
      </c>
      <c r="C20" s="463" t="s">
        <v>1625</v>
      </c>
    </row>
    <row r="21" spans="1:3">
      <c r="A21" s="462" t="str">
        <f t="shared" si="0"/>
        <v>Dynamon Easy 75-Mapei</v>
      </c>
      <c r="B21" s="462" t="s">
        <v>2195</v>
      </c>
      <c r="C21" s="463" t="s">
        <v>1625</v>
      </c>
    </row>
    <row r="22" spans="1:3">
      <c r="A22" s="462" t="str">
        <f t="shared" si="0"/>
        <v>Dynamon NRG 1092-Mapei</v>
      </c>
      <c r="B22" s="462" t="s">
        <v>1624</v>
      </c>
      <c r="C22" s="463" t="s">
        <v>1625</v>
      </c>
    </row>
    <row r="23" spans="1:3">
      <c r="A23" s="462" t="str">
        <f t="shared" si="0"/>
        <v>Dynamon NRG 546-Mapei</v>
      </c>
      <c r="B23" s="462" t="s">
        <v>1780</v>
      </c>
      <c r="C23" s="463" t="s">
        <v>1625</v>
      </c>
    </row>
    <row r="24" spans="1:3">
      <c r="A24" s="462" t="str">
        <f t="shared" si="0"/>
        <v>Dynamon SX-Mapei</v>
      </c>
      <c r="B24" s="462" t="s">
        <v>1352</v>
      </c>
      <c r="C24" s="463" t="s">
        <v>1625</v>
      </c>
    </row>
    <row r="25" spans="1:3">
      <c r="A25" s="462" t="str">
        <f t="shared" si="0"/>
        <v>Dynamon SX 37-Mapei</v>
      </c>
      <c r="B25" s="462" t="s">
        <v>1784</v>
      </c>
      <c r="C25" s="463" t="s">
        <v>1625</v>
      </c>
    </row>
    <row r="26" spans="1:3">
      <c r="A26" s="462" t="str">
        <f t="shared" si="0"/>
        <v>Eucon 1037-Euclid</v>
      </c>
      <c r="B26" s="462" t="s">
        <v>1353</v>
      </c>
      <c r="C26" s="463" t="s">
        <v>1278</v>
      </c>
    </row>
    <row r="27" spans="1:3">
      <c r="A27" s="462" t="str">
        <f t="shared" si="0"/>
        <v>Eucon 37-Euclid</v>
      </c>
      <c r="B27" s="462" t="s">
        <v>1354</v>
      </c>
      <c r="C27" s="464" t="s">
        <v>1278</v>
      </c>
    </row>
    <row r="28" spans="1:3">
      <c r="A28" s="462" t="str">
        <f t="shared" si="0"/>
        <v>Eucon MRX-Euclid</v>
      </c>
      <c r="B28" s="462" t="s">
        <v>1308</v>
      </c>
      <c r="C28" s="463" t="s">
        <v>1278</v>
      </c>
    </row>
    <row r="29" spans="1:3">
      <c r="A29" s="462" t="str">
        <f t="shared" si="0"/>
        <v>MIRA 110-CHRYSO Inc.</v>
      </c>
      <c r="B29" s="462" t="s">
        <v>1355</v>
      </c>
      <c r="C29" s="463" t="s">
        <v>2194</v>
      </c>
    </row>
    <row r="30" spans="1:3">
      <c r="A30" s="462" t="str">
        <f t="shared" si="0"/>
        <v>MIRA 62-CHRYSO Inc.</v>
      </c>
      <c r="B30" s="462" t="s">
        <v>1356</v>
      </c>
      <c r="C30" s="463" t="s">
        <v>2194</v>
      </c>
    </row>
    <row r="31" spans="1:3">
      <c r="A31" s="462" t="str">
        <f t="shared" si="0"/>
        <v>Mapecrete Resolve-Mapei</v>
      </c>
      <c r="B31" s="462" t="s">
        <v>2112</v>
      </c>
      <c r="C31" s="463" t="s">
        <v>1625</v>
      </c>
    </row>
    <row r="32" spans="1:3">
      <c r="A32" s="462" t="str">
        <f t="shared" si="0"/>
        <v>Mapefluid N200-Mapei</v>
      </c>
      <c r="B32" s="462" t="s">
        <v>1781</v>
      </c>
      <c r="C32" s="463" t="s">
        <v>1625</v>
      </c>
    </row>
    <row r="33" spans="1:3">
      <c r="A33" s="462" t="str">
        <f t="shared" si="0"/>
        <v>MasterGlenium 1466-Master Builders</v>
      </c>
      <c r="B33" s="462" t="s">
        <v>1318</v>
      </c>
      <c r="C33" s="464" t="s">
        <v>1966</v>
      </c>
    </row>
    <row r="34" spans="1:3">
      <c r="A34" s="462" t="str">
        <f t="shared" si="0"/>
        <v>MasterGlenium 3030-Master Builders</v>
      </c>
      <c r="B34" s="462" t="s">
        <v>1319</v>
      </c>
      <c r="C34" s="464" t="s">
        <v>1966</v>
      </c>
    </row>
    <row r="35" spans="1:3">
      <c r="A35" s="462" t="str">
        <f t="shared" si="0"/>
        <v>MasterGlenium 3400-Master Builders</v>
      </c>
      <c r="B35" s="462" t="s">
        <v>1357</v>
      </c>
      <c r="C35" s="464" t="s">
        <v>1966</v>
      </c>
    </row>
    <row r="36" spans="1:3">
      <c r="A36" s="462" t="str">
        <f t="shared" si="0"/>
        <v>MasterGlenium 7500-Master Builders</v>
      </c>
      <c r="B36" s="462" t="s">
        <v>1358</v>
      </c>
      <c r="C36" s="464" t="s">
        <v>1966</v>
      </c>
    </row>
    <row r="37" spans="1:3">
      <c r="A37" s="462" t="str">
        <f t="shared" si="0"/>
        <v>MasterGlenium 7700-Master Builders</v>
      </c>
      <c r="B37" s="462" t="s">
        <v>1359</v>
      </c>
      <c r="C37" s="464" t="s">
        <v>1966</v>
      </c>
    </row>
    <row r="38" spans="1:3">
      <c r="A38" s="462" t="str">
        <f t="shared" si="0"/>
        <v>MasterGlenium 7920-Master Builders</v>
      </c>
      <c r="B38" s="462" t="s">
        <v>1320</v>
      </c>
      <c r="C38" s="464" t="s">
        <v>1966</v>
      </c>
    </row>
    <row r="39" spans="1:3">
      <c r="A39" s="462" t="str">
        <f t="shared" si="0"/>
        <v>MasterRheobuild 1000-Master Builders</v>
      </c>
      <c r="B39" s="462" t="s">
        <v>1360</v>
      </c>
      <c r="C39" s="464" t="s">
        <v>1966</v>
      </c>
    </row>
    <row r="40" spans="1:3">
      <c r="A40" s="462" t="str">
        <f t="shared" si="0"/>
        <v>Melchem 38-Mapei</v>
      </c>
      <c r="B40" s="462" t="s">
        <v>1783</v>
      </c>
      <c r="C40" s="463" t="s">
        <v>1625</v>
      </c>
    </row>
    <row r="41" spans="1:3">
      <c r="A41" s="462" t="str">
        <f t="shared" si="0"/>
        <v>Plastol 341-Euclid</v>
      </c>
      <c r="B41" s="462" t="s">
        <v>1361</v>
      </c>
      <c r="C41" s="464" t="s">
        <v>1278</v>
      </c>
    </row>
    <row r="42" spans="1:3">
      <c r="A42" s="462" t="str">
        <f t="shared" si="0"/>
        <v>Plastol 341-S-Euclid</v>
      </c>
      <c r="B42" s="462" t="s">
        <v>1362</v>
      </c>
      <c r="C42" s="463" t="s">
        <v>1278</v>
      </c>
    </row>
    <row r="43" spans="1:3">
      <c r="A43" s="462" t="str">
        <f t="shared" si="0"/>
        <v>Plastol 5000-Euclid</v>
      </c>
      <c r="B43" s="462" t="s">
        <v>1363</v>
      </c>
      <c r="C43" s="464" t="s">
        <v>1278</v>
      </c>
    </row>
    <row r="44" spans="1:3">
      <c r="A44" s="462" t="str">
        <f t="shared" si="0"/>
        <v>Plastol 6400-Euclid</v>
      </c>
      <c r="B44" s="462" t="s">
        <v>1364</v>
      </c>
      <c r="C44" s="464" t="s">
        <v>1278</v>
      </c>
    </row>
    <row r="45" spans="1:3">
      <c r="A45" s="462" t="str">
        <f t="shared" si="0"/>
        <v>Plastol 6420-Euclid</v>
      </c>
      <c r="B45" s="462" t="s">
        <v>1329</v>
      </c>
      <c r="C45" s="463" t="s">
        <v>1278</v>
      </c>
    </row>
    <row r="46" spans="1:3">
      <c r="A46" s="462" t="str">
        <f t="shared" si="0"/>
        <v>Plastol 6425-Euclid</v>
      </c>
      <c r="B46" s="462" t="s">
        <v>1989</v>
      </c>
      <c r="C46" s="463" t="s">
        <v>1278</v>
      </c>
    </row>
    <row r="47" spans="1:3">
      <c r="A47" s="462" t="str">
        <f t="shared" si="0"/>
        <v>Plastol Ultra 209-Euclid</v>
      </c>
      <c r="B47" s="462" t="s">
        <v>1365</v>
      </c>
      <c r="C47" s="464" t="s">
        <v>1278</v>
      </c>
    </row>
    <row r="48" spans="1:3">
      <c r="A48" s="462" t="str">
        <f t="shared" si="0"/>
        <v>Polychem 3000-Mapei</v>
      </c>
      <c r="B48" s="462" t="s">
        <v>1330</v>
      </c>
      <c r="C48" s="463" t="s">
        <v>1625</v>
      </c>
    </row>
    <row r="49" spans="1:3">
      <c r="A49" s="462" t="str">
        <f t="shared" si="0"/>
        <v>Polychem SPC-Mapei</v>
      </c>
      <c r="B49" s="462" t="s">
        <v>1366</v>
      </c>
      <c r="C49" s="463" t="s">
        <v>1625</v>
      </c>
    </row>
    <row r="50" spans="1:3">
      <c r="A50" s="462" t="str">
        <f t="shared" si="0"/>
        <v>Sika ViscoCrete 1000-Sika</v>
      </c>
      <c r="B50" s="462" t="s">
        <v>1367</v>
      </c>
      <c r="C50" s="463" t="s">
        <v>1294</v>
      </c>
    </row>
    <row r="51" spans="1:3">
      <c r="A51" s="462" t="str">
        <f t="shared" si="0"/>
        <v>Sika ViscoCrete 1100-Sika</v>
      </c>
      <c r="B51" s="462" t="s">
        <v>1990</v>
      </c>
      <c r="C51" s="463" t="s">
        <v>1294</v>
      </c>
    </row>
    <row r="52" spans="1:3">
      <c r="A52" s="462" t="str">
        <f t="shared" si="0"/>
        <v>Sika ViscoCrete 2100-Sika</v>
      </c>
      <c r="B52" s="462" t="s">
        <v>1368</v>
      </c>
      <c r="C52" s="464" t="s">
        <v>1294</v>
      </c>
    </row>
    <row r="53" spans="1:3">
      <c r="A53" s="462" t="str">
        <f t="shared" si="0"/>
        <v>Sika ViscoCrete 2110-Sika</v>
      </c>
      <c r="B53" s="462" t="s">
        <v>1369</v>
      </c>
      <c r="C53" s="463" t="s">
        <v>1294</v>
      </c>
    </row>
    <row r="54" spans="1:3">
      <c r="A54" s="462" t="str">
        <f t="shared" si="0"/>
        <v>Sika ViscoCrete 4100-Sika</v>
      </c>
      <c r="B54" s="462" t="s">
        <v>1370</v>
      </c>
      <c r="C54" s="464" t="s">
        <v>1294</v>
      </c>
    </row>
    <row r="55" spans="1:3">
      <c r="A55" s="462" t="str">
        <f t="shared" si="0"/>
        <v>Sika ViscoCrete 6100-Sika</v>
      </c>
      <c r="B55" s="462" t="s">
        <v>1371</v>
      </c>
      <c r="C55" s="463" t="s">
        <v>1294</v>
      </c>
    </row>
    <row r="56" spans="1:3">
      <c r="A56" s="462" t="str">
        <f t="shared" si="0"/>
        <v>Sikament 686-Sika</v>
      </c>
      <c r="B56" s="462" t="s">
        <v>1332</v>
      </c>
      <c r="C56" s="464" t="s">
        <v>1294</v>
      </c>
    </row>
    <row r="57" spans="1:3">
      <c r="A57" s="462" t="str">
        <f t="shared" si="0"/>
        <v>Sikament AFM-Sika</v>
      </c>
      <c r="B57" s="462" t="s">
        <v>1372</v>
      </c>
      <c r="C57" s="463" t="s">
        <v>1294</v>
      </c>
    </row>
    <row r="58" spans="1:3">
      <c r="A58" s="462" t="str">
        <f t="shared" si="0"/>
        <v>Sikament SPMN-Sika</v>
      </c>
      <c r="B58" s="462" t="s">
        <v>1373</v>
      </c>
      <c r="C58" s="464" t="s">
        <v>1294</v>
      </c>
    </row>
    <row r="59" spans="1:3">
      <c r="A59" s="462" t="str">
        <f t="shared" si="0"/>
        <v>Sikament-475-Sika</v>
      </c>
      <c r="B59" s="462" t="s">
        <v>1333</v>
      </c>
      <c r="C59" s="463" t="s">
        <v>1294</v>
      </c>
    </row>
    <row r="60" spans="1:3">
      <c r="A60" s="462" t="str">
        <f t="shared" si="0"/>
        <v>Supercizer 5 -Fritz-Pak</v>
      </c>
      <c r="B60" s="462" t="s">
        <v>1374</v>
      </c>
      <c r="C60" s="464" t="s">
        <v>1263</v>
      </c>
    </row>
    <row r="61" spans="1:3">
      <c r="A61" s="462" t="str">
        <f t="shared" si="0"/>
        <v>Supercizer 7-Fritz-Pak</v>
      </c>
      <c r="B61" s="462" t="s">
        <v>1375</v>
      </c>
      <c r="C61" s="463" t="s">
        <v>1263</v>
      </c>
    </row>
    <row r="62" spans="1:3">
      <c r="A62" s="462" t="str">
        <f t="shared" si="0"/>
        <v>Superflo 2000 RM-RussTech</v>
      </c>
      <c r="B62" s="462" t="s">
        <v>1334</v>
      </c>
      <c r="C62" s="464" t="s">
        <v>1314</v>
      </c>
    </row>
    <row r="63" spans="1:3">
      <c r="A63" s="462" t="str">
        <f t="shared" si="0"/>
        <v>Superflo 2000 SCC-RussTech</v>
      </c>
      <c r="B63" s="462" t="s">
        <v>1335</v>
      </c>
      <c r="C63" s="463" t="s">
        <v>1314</v>
      </c>
    </row>
    <row r="64" spans="1:3">
      <c r="A64" s="462" t="str">
        <f t="shared" si="0"/>
        <v>Superflo 2040 RM-RussTech</v>
      </c>
      <c r="B64" s="462" t="s">
        <v>1336</v>
      </c>
      <c r="C64" s="464" t="s">
        <v>1314</v>
      </c>
    </row>
    <row r="65" spans="1:3">
      <c r="A65" s="462" t="str">
        <f t="shared" si="0"/>
        <v>Superflo DSF 1443-DarCole Products, Inc</v>
      </c>
      <c r="B65" s="462" t="s">
        <v>1991</v>
      </c>
      <c r="C65" s="464" t="s">
        <v>1810</v>
      </c>
    </row>
    <row r="66" spans="1:3">
      <c r="A66" s="462" t="str">
        <f t="shared" si="0"/>
        <v>UltraFlo 2000-Premiere Admix</v>
      </c>
      <c r="B66" s="462" t="s">
        <v>1376</v>
      </c>
      <c r="C66" s="463" t="s">
        <v>1327</v>
      </c>
    </row>
    <row r="67" spans="1:3">
      <c r="A67" s="462" t="str">
        <f t="shared" si="0"/>
        <v>UltraFlo 5600-Premiere Admix</v>
      </c>
      <c r="B67" s="462" t="s">
        <v>1377</v>
      </c>
      <c r="C67" s="464" t="s">
        <v>1327</v>
      </c>
    </row>
    <row r="68" spans="1:3">
      <c r="A68" s="462" t="str">
        <f t="shared" si="0"/>
        <v>UltraFlo DP-Premiere Admix</v>
      </c>
      <c r="B68" s="462" t="s">
        <v>1378</v>
      </c>
      <c r="C68" s="463" t="s">
        <v>1327</v>
      </c>
    </row>
  </sheetData>
  <sheetProtection algorithmName="SHA-512" hashValue="XTZiyHeGLQmszIsgaTG7oDfz3+gWnfioc1KC5DP42r/Mjkz+qJ8zWxFv3A/TNvJvbQw5g0S5plpamUJWwtJuMg==" saltValue="kblKzP6T3VaXTUqONM6p8g==" spinCount="100000" sheet="1" objects="1" scenarios="1"/>
  <mergeCells count="1">
    <mergeCell ref="A1:C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328C0-CA18-472B-9FFE-B448D52A592F}">
  <sheetPr codeName="Sheet23"/>
  <dimension ref="A1:C43"/>
  <sheetViews>
    <sheetView workbookViewId="0">
      <selection sqref="A1:C43"/>
    </sheetView>
  </sheetViews>
  <sheetFormatPr defaultRowHeight="15"/>
  <cols>
    <col min="1" max="1" width="34.6640625" bestFit="1" customWidth="1"/>
    <col min="2" max="2" width="18.44140625" bestFit="1" customWidth="1"/>
    <col min="3" max="3" width="16.109375" bestFit="1" customWidth="1"/>
  </cols>
  <sheetData>
    <row r="1" spans="1:3" ht="15.6" customHeight="1">
      <c r="A1" s="726" t="s">
        <v>1638</v>
      </c>
      <c r="B1" s="726"/>
      <c r="C1" s="726"/>
    </row>
    <row r="2" spans="1:3" ht="15.6" customHeight="1">
      <c r="A2" s="726"/>
      <c r="B2" s="726"/>
      <c r="C2" s="726"/>
    </row>
    <row r="3" spans="1:3">
      <c r="A3" s="468"/>
      <c r="B3" s="468"/>
      <c r="C3" s="468"/>
    </row>
    <row r="4" spans="1:3">
      <c r="A4" s="468" t="str">
        <f>_xlfn.CONCAT(B4,"-",C4)</f>
        <v>DHS-DarCole Products</v>
      </c>
      <c r="B4" s="468" t="s">
        <v>2113</v>
      </c>
      <c r="C4" s="469" t="s">
        <v>2114</v>
      </c>
    </row>
    <row r="5" spans="1:3">
      <c r="A5" s="468" t="str">
        <f t="shared" ref="A5:A6" si="0">_xlfn.CONCAT(B5,"-",C5)</f>
        <v>DWR 385R-DarCole Products</v>
      </c>
      <c r="B5" s="468" t="s">
        <v>2115</v>
      </c>
      <c r="C5" s="469" t="s">
        <v>2114</v>
      </c>
    </row>
    <row r="6" spans="1:3">
      <c r="A6" s="468" t="str">
        <f t="shared" si="0"/>
        <v>Daratard 17-CHRYSO Inc.</v>
      </c>
      <c r="B6" s="468" t="s">
        <v>1379</v>
      </c>
      <c r="C6" s="469" t="s">
        <v>2194</v>
      </c>
    </row>
    <row r="7" spans="1:3">
      <c r="A7" s="468" t="str">
        <f>_xlfn.CONCAT(B7,"-",C7)</f>
        <v>Eucon DS-Euclid</v>
      </c>
      <c r="B7" s="468" t="s">
        <v>1980</v>
      </c>
      <c r="C7" s="469" t="s">
        <v>1278</v>
      </c>
    </row>
    <row r="8" spans="1:3">
      <c r="A8" s="468" t="str">
        <f t="shared" ref="A8:A43" si="1">_xlfn.CONCAT(B8,"-",C8)</f>
        <v>Eucon Retarder 100-Euclid</v>
      </c>
      <c r="B8" s="468" t="s">
        <v>1380</v>
      </c>
      <c r="C8" s="469" t="s">
        <v>1278</v>
      </c>
    </row>
    <row r="9" spans="1:3">
      <c r="A9" s="468" t="str">
        <f t="shared" si="1"/>
        <v>Eucon SE-Euclid</v>
      </c>
      <c r="B9" s="468" t="s">
        <v>1309</v>
      </c>
      <c r="C9" s="469" t="s">
        <v>1278</v>
      </c>
    </row>
    <row r="10" spans="1:3">
      <c r="A10" s="468" t="str">
        <f t="shared" si="1"/>
        <v>Eucon Stasis-Euclid</v>
      </c>
      <c r="B10" s="468" t="s">
        <v>1381</v>
      </c>
      <c r="C10" s="469" t="s">
        <v>1278</v>
      </c>
    </row>
    <row r="11" spans="1:3">
      <c r="A11" s="468" t="str">
        <f t="shared" si="1"/>
        <v>Eucon WR-91-Euclid</v>
      </c>
      <c r="B11" s="468" t="s">
        <v>1312</v>
      </c>
      <c r="C11" s="469" t="s">
        <v>1278</v>
      </c>
    </row>
    <row r="12" spans="1:3">
      <c r="A12" s="468" t="str">
        <f t="shared" si="1"/>
        <v>LC-400P-RussTech</v>
      </c>
      <c r="B12" s="468" t="s">
        <v>1316</v>
      </c>
      <c r="C12" s="469" t="s">
        <v>1314</v>
      </c>
    </row>
    <row r="13" spans="1:3">
      <c r="A13" s="468" t="str">
        <f t="shared" si="1"/>
        <v>LC-400R-RussTech</v>
      </c>
      <c r="B13" s="468" t="s">
        <v>1382</v>
      </c>
      <c r="C13" s="469" t="s">
        <v>1314</v>
      </c>
    </row>
    <row r="14" spans="1:3">
      <c r="A14" s="468" t="str">
        <f t="shared" si="1"/>
        <v>Mapecrete Resolve-Mapei</v>
      </c>
      <c r="B14" s="468" t="s">
        <v>2112</v>
      </c>
      <c r="C14" s="469" t="s">
        <v>1625</v>
      </c>
    </row>
    <row r="15" spans="1:3">
      <c r="A15" s="468" t="str">
        <f>_xlfn.CONCAT(B15,"-",C15)</f>
        <v>Mapeplast 400 NC-Mapei</v>
      </c>
      <c r="B15" s="468" t="s">
        <v>1981</v>
      </c>
      <c r="C15" s="469" t="s">
        <v>1625</v>
      </c>
    </row>
    <row r="16" spans="1:3">
      <c r="A16" s="468" t="str">
        <f>_xlfn.CONCAT(B16,"-",C16)</f>
        <v>Mapeplast 440 NS-Mapei</v>
      </c>
      <c r="B16" s="468" t="s">
        <v>2196</v>
      </c>
      <c r="C16" s="469" t="s">
        <v>1625</v>
      </c>
    </row>
    <row r="17" spans="1:3">
      <c r="A17" s="468" t="str">
        <f t="shared" si="1"/>
        <v>Mapeplast N-Mapei</v>
      </c>
      <c r="B17" s="468" t="s">
        <v>1813</v>
      </c>
      <c r="C17" s="469" t="s">
        <v>1625</v>
      </c>
    </row>
    <row r="18" spans="1:3">
      <c r="A18" s="468" t="str">
        <f t="shared" si="1"/>
        <v>Mapetard Plus-Mapei</v>
      </c>
      <c r="B18" s="468" t="s">
        <v>1785</v>
      </c>
      <c r="C18" s="469" t="s">
        <v>1625</v>
      </c>
    </row>
    <row r="19" spans="1:3">
      <c r="A19" s="468" t="str">
        <f t="shared" si="1"/>
        <v>Mapetard R-Mapei</v>
      </c>
      <c r="B19" s="468" t="s">
        <v>1982</v>
      </c>
      <c r="C19" s="469" t="s">
        <v>1625</v>
      </c>
    </row>
    <row r="20" spans="1:3">
      <c r="A20" s="468" t="str">
        <f t="shared" si="1"/>
        <v>MasterPozzolith 200-Master Builders US</v>
      </c>
      <c r="B20" s="468" t="s">
        <v>1322</v>
      </c>
      <c r="C20" s="469" t="s">
        <v>1779</v>
      </c>
    </row>
    <row r="21" spans="1:3">
      <c r="A21" s="468" t="str">
        <f t="shared" si="1"/>
        <v>MasterPozzolith 322-Master Builders US</v>
      </c>
      <c r="B21" s="468" t="s">
        <v>1323</v>
      </c>
      <c r="C21" s="469" t="s">
        <v>1779</v>
      </c>
    </row>
    <row r="22" spans="1:3">
      <c r="A22" s="468" t="str">
        <f t="shared" si="1"/>
        <v>MasterPozzolith 700-Master Builders US</v>
      </c>
      <c r="B22" s="468" t="s">
        <v>1324</v>
      </c>
      <c r="C22" s="469" t="s">
        <v>1779</v>
      </c>
    </row>
    <row r="23" spans="1:3">
      <c r="A23" s="468" t="str">
        <f t="shared" si="1"/>
        <v>MasterPozzolith 80-Master Builders US</v>
      </c>
      <c r="B23" s="468" t="s">
        <v>1325</v>
      </c>
      <c r="C23" s="469" t="s">
        <v>1779</v>
      </c>
    </row>
    <row r="24" spans="1:3">
      <c r="A24" s="468" t="str">
        <f t="shared" si="1"/>
        <v>MasterSet Delvo-Master Builders US</v>
      </c>
      <c r="B24" s="468" t="s">
        <v>1383</v>
      </c>
      <c r="C24" s="469" t="s">
        <v>1779</v>
      </c>
    </row>
    <row r="25" spans="1:3">
      <c r="A25" s="468" t="str">
        <f t="shared" si="1"/>
        <v>MasterSet Delvo ESC-Master Builders US</v>
      </c>
      <c r="B25" s="468" t="s">
        <v>1384</v>
      </c>
      <c r="C25" s="469" t="s">
        <v>1779</v>
      </c>
    </row>
    <row r="26" spans="1:3">
      <c r="A26" s="468" t="str">
        <f t="shared" si="1"/>
        <v>MasterSet R 100-Master Builders US</v>
      </c>
      <c r="B26" s="468" t="s">
        <v>1385</v>
      </c>
      <c r="C26" s="469" t="s">
        <v>1779</v>
      </c>
    </row>
    <row r="27" spans="1:3">
      <c r="A27" s="468" t="str">
        <f t="shared" si="1"/>
        <v>MasterSet R 300-BASF</v>
      </c>
      <c r="B27" s="468" t="s">
        <v>1386</v>
      </c>
      <c r="C27" s="469" t="s">
        <v>1284</v>
      </c>
    </row>
    <row r="28" spans="1:3">
      <c r="A28" s="468" t="str">
        <f t="shared" si="1"/>
        <v>Mini Delayed Set-Fritz-Pak</v>
      </c>
      <c r="B28" s="468" t="s">
        <v>1920</v>
      </c>
      <c r="C28" s="469" t="s">
        <v>1263</v>
      </c>
    </row>
    <row r="29" spans="1:3">
      <c r="A29" s="468" t="str">
        <f t="shared" si="1"/>
        <v>OptiFlo 500-Premiere Admix</v>
      </c>
      <c r="B29" s="468" t="s">
        <v>1326</v>
      </c>
      <c r="C29" s="469" t="s">
        <v>1327</v>
      </c>
    </row>
    <row r="30" spans="1:3">
      <c r="A30" s="468" t="str">
        <f t="shared" si="1"/>
        <v>Polychem Renu-Mapei</v>
      </c>
      <c r="B30" s="468" t="s">
        <v>1387</v>
      </c>
      <c r="C30" s="469" t="s">
        <v>1625</v>
      </c>
    </row>
    <row r="31" spans="1:3">
      <c r="A31" s="468" t="str">
        <f t="shared" si="1"/>
        <v>ProLong L-Premiere Admix</v>
      </c>
      <c r="B31" s="468" t="s">
        <v>1388</v>
      </c>
      <c r="C31" s="469" t="s">
        <v>1327</v>
      </c>
    </row>
    <row r="32" spans="1:3">
      <c r="A32" s="468" t="str">
        <f t="shared" si="1"/>
        <v>RENU-RussTech</v>
      </c>
      <c r="B32" s="468" t="s">
        <v>1390</v>
      </c>
      <c r="C32" s="469" t="s">
        <v>1314</v>
      </c>
    </row>
    <row r="33" spans="1:3">
      <c r="A33" s="468" t="str">
        <f t="shared" si="1"/>
        <v>RECOVER-CHRYSO Inc.</v>
      </c>
      <c r="B33" s="468" t="s">
        <v>1389</v>
      </c>
      <c r="C33" s="469" t="s">
        <v>2194</v>
      </c>
    </row>
    <row r="34" spans="1:3">
      <c r="A34" s="468" t="str">
        <f t="shared" si="1"/>
        <v>Sika Plastiment-Sika</v>
      </c>
      <c r="B34" s="468" t="s">
        <v>1983</v>
      </c>
      <c r="C34" s="469" t="s">
        <v>1294</v>
      </c>
    </row>
    <row r="35" spans="1:3">
      <c r="A35" s="468" t="str">
        <f t="shared" si="1"/>
        <v>Sika Plastiment XR-Sika</v>
      </c>
      <c r="B35" s="468" t="s">
        <v>1984</v>
      </c>
      <c r="C35" s="469" t="s">
        <v>1294</v>
      </c>
    </row>
    <row r="36" spans="1:3">
      <c r="A36" s="468" t="str">
        <f t="shared" si="1"/>
        <v>Sika Plastocrete 10N-Sika</v>
      </c>
      <c r="B36" s="468" t="s">
        <v>1985</v>
      </c>
      <c r="C36" s="469" t="s">
        <v>1294</v>
      </c>
    </row>
    <row r="37" spans="1:3">
      <c r="A37" s="468" t="str">
        <f t="shared" si="1"/>
        <v>Sika Plastocrete 161-Sika</v>
      </c>
      <c r="B37" s="468" t="s">
        <v>1986</v>
      </c>
      <c r="C37" s="469" t="s">
        <v>1294</v>
      </c>
    </row>
    <row r="38" spans="1:3">
      <c r="A38" s="468" t="str">
        <f t="shared" si="1"/>
        <v>Sika Plastocrete-250-Sika</v>
      </c>
      <c r="B38" s="468" t="s">
        <v>1987</v>
      </c>
      <c r="C38" s="469" t="s">
        <v>1294</v>
      </c>
    </row>
    <row r="39" spans="1:3">
      <c r="A39" s="468" t="str">
        <f t="shared" si="1"/>
        <v>SikaTard 440-Sika</v>
      </c>
      <c r="B39" s="468" t="s">
        <v>1391</v>
      </c>
      <c r="C39" s="469" t="s">
        <v>1294</v>
      </c>
    </row>
    <row r="40" spans="1:3">
      <c r="A40" s="468" t="str">
        <f t="shared" si="1"/>
        <v>Standard Delayed Set-Fritz-Pak</v>
      </c>
      <c r="B40" s="468" t="s">
        <v>1392</v>
      </c>
      <c r="C40" s="469" t="s">
        <v>1263</v>
      </c>
    </row>
    <row r="41" spans="1:3">
      <c r="A41" s="468" t="str">
        <f t="shared" si="1"/>
        <v>V-Mar VSC 500-CHRYSO Inc.</v>
      </c>
      <c r="B41" s="468" t="s">
        <v>1393</v>
      </c>
      <c r="C41" s="469" t="s">
        <v>2194</v>
      </c>
    </row>
    <row r="42" spans="1:3">
      <c r="A42" s="468" t="str">
        <f t="shared" si="1"/>
        <v>Zyla 640-CHRYSO Inc.</v>
      </c>
      <c r="B42" s="468" t="s">
        <v>1921</v>
      </c>
      <c r="C42" s="469" t="s">
        <v>2194</v>
      </c>
    </row>
    <row r="43" spans="1:3">
      <c r="A43" s="468" t="str">
        <f t="shared" si="1"/>
        <v>Zyla R-CHRYSO Inc.</v>
      </c>
      <c r="B43" s="468" t="s">
        <v>1786</v>
      </c>
      <c r="C43" s="469" t="s">
        <v>2194</v>
      </c>
    </row>
  </sheetData>
  <sheetProtection algorithmName="SHA-512" hashValue="NpRXj4+cTDuncDC9yvUoQvtI1I78ujluHqVdvUS39Y67B1MnL5K9sGF+v8V70P12rzqIn/VC4e5shR9srEC8LQ==" saltValue="qvHPpw6gxbtBdoBW53JJCQ==" spinCount="100000" sheet="1" objects="1" scenarios="1"/>
  <mergeCells count="1">
    <mergeCell ref="A1:C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D9C73-FD87-4A02-9FA0-AE103F9785A6}">
  <sheetPr codeName="Sheet24"/>
  <dimension ref="A1:C37"/>
  <sheetViews>
    <sheetView workbookViewId="0">
      <selection sqref="A1:C37"/>
    </sheetView>
  </sheetViews>
  <sheetFormatPr defaultRowHeight="15"/>
  <cols>
    <col min="1" max="1" width="36.21875" bestFit="1" customWidth="1"/>
    <col min="2" max="2" width="19.21875" bestFit="1" customWidth="1"/>
    <col min="3" max="3" width="23.6640625" bestFit="1" customWidth="1"/>
  </cols>
  <sheetData>
    <row r="1" spans="1:3" ht="15.6" customHeight="1">
      <c r="A1" s="727" t="s">
        <v>1639</v>
      </c>
      <c r="B1" s="727"/>
      <c r="C1" s="727"/>
    </row>
    <row r="2" spans="1:3" ht="15.6" customHeight="1">
      <c r="A2" s="727"/>
      <c r="B2" s="727"/>
      <c r="C2" s="727"/>
    </row>
    <row r="3" spans="1:3">
      <c r="A3" s="470"/>
      <c r="B3" s="470"/>
      <c r="C3" s="470"/>
    </row>
    <row r="4" spans="1:3">
      <c r="A4" s="470" t="str">
        <f>_xlfn.CONCAT(B4,"-",C4)</f>
        <v>ADVA ITM750-CHRYSO Inc.</v>
      </c>
      <c r="B4" s="470" t="s">
        <v>1350</v>
      </c>
      <c r="C4" s="471" t="s">
        <v>2194</v>
      </c>
    </row>
    <row r="5" spans="1:3">
      <c r="A5" s="470" t="str">
        <f>_xlfn.CONCAT(B5,"-",C5)</f>
        <v>CSXtreme-Concrete Moisture Solutions</v>
      </c>
      <c r="B5" s="470" t="s">
        <v>1815</v>
      </c>
      <c r="C5" s="471" t="s">
        <v>1816</v>
      </c>
    </row>
    <row r="6" spans="1:3">
      <c r="A6" s="470" t="str">
        <f t="shared" ref="A6:A8" si="0">_xlfn.CONCAT(B6,"-",C6)</f>
        <v>Chem-Crete MCE-International Chem-Crete</v>
      </c>
      <c r="B6" s="470" t="s">
        <v>2197</v>
      </c>
      <c r="C6" s="471" t="s">
        <v>2198</v>
      </c>
    </row>
    <row r="7" spans="1:3">
      <c r="A7" s="470" t="str">
        <f t="shared" si="0"/>
        <v>ConBlock CDA-Concrete Sealants Inc.</v>
      </c>
      <c r="B7" s="470" t="s">
        <v>2199</v>
      </c>
      <c r="C7" s="471" t="s">
        <v>2200</v>
      </c>
    </row>
    <row r="8" spans="1:3">
      <c r="A8" s="470" t="str">
        <f t="shared" si="0"/>
        <v>ConBlock CDA Red-Concrete Sealants Inc.</v>
      </c>
      <c r="B8" s="470" t="s">
        <v>2201</v>
      </c>
      <c r="C8" s="471" t="s">
        <v>2200</v>
      </c>
    </row>
    <row r="9" spans="1:3">
      <c r="A9" s="470" t="str">
        <f>_xlfn.CONCAT(B9,"-",C9)</f>
        <v>DG-F-Mapei</v>
      </c>
      <c r="B9" s="470" t="s">
        <v>1971</v>
      </c>
      <c r="C9" s="472" t="s">
        <v>1625</v>
      </c>
    </row>
    <row r="10" spans="1:3">
      <c r="A10" s="470" t="str">
        <f t="shared" ref="A10:A37" si="1">_xlfn.CONCAT(B10,"-",C10)</f>
        <v>E5 Internal Cure-Specification Products</v>
      </c>
      <c r="B10" s="470" t="s">
        <v>1972</v>
      </c>
      <c r="C10" s="472" t="s">
        <v>1973</v>
      </c>
    </row>
    <row r="11" spans="1:3">
      <c r="A11" s="470" t="str">
        <f t="shared" si="1"/>
        <v>E5 Liquid FlyAsh-Specification Products</v>
      </c>
      <c r="B11" s="470" t="s">
        <v>1974</v>
      </c>
      <c r="C11" s="472" t="s">
        <v>1973</v>
      </c>
    </row>
    <row r="12" spans="1:3">
      <c r="A12" s="470" t="str">
        <f t="shared" si="1"/>
        <v>Eucon AWA-P20-Euclid</v>
      </c>
      <c r="B12" s="470" t="s">
        <v>1817</v>
      </c>
      <c r="C12" s="472" t="s">
        <v>1278</v>
      </c>
    </row>
    <row r="13" spans="1:3">
      <c r="A13" s="470" t="str">
        <f t="shared" si="1"/>
        <v>Hycrete X1002-Hycrete</v>
      </c>
      <c r="B13" s="470" t="s">
        <v>1975</v>
      </c>
      <c r="C13" s="472" t="s">
        <v>1976</v>
      </c>
    </row>
    <row r="14" spans="1:3">
      <c r="A14" s="470" t="str">
        <f t="shared" si="1"/>
        <v>Mapecrete V3K-Mapei</v>
      </c>
      <c r="B14" s="470" t="s">
        <v>1787</v>
      </c>
      <c r="C14" s="472" t="s">
        <v>1625</v>
      </c>
    </row>
    <row r="15" spans="1:3">
      <c r="A15" s="470" t="str">
        <f t="shared" si="1"/>
        <v>Mapecrete VMA-Mapei</v>
      </c>
      <c r="B15" s="470" t="s">
        <v>1977</v>
      </c>
      <c r="C15" s="472" t="s">
        <v>1625</v>
      </c>
    </row>
    <row r="16" spans="1:3">
      <c r="A16" s="470" t="str">
        <f t="shared" si="1"/>
        <v>Master X-Seed 44-Master Builders</v>
      </c>
      <c r="B16" s="470" t="s">
        <v>1924</v>
      </c>
      <c r="C16" s="471" t="s">
        <v>1966</v>
      </c>
    </row>
    <row r="17" spans="1:3">
      <c r="A17" s="470" t="str">
        <f t="shared" si="1"/>
        <v>Master X-Seed 55-Master Builders</v>
      </c>
      <c r="B17" s="470" t="s">
        <v>1394</v>
      </c>
      <c r="C17" s="471" t="s">
        <v>1966</v>
      </c>
    </row>
    <row r="18" spans="1:3">
      <c r="A18" s="470" t="str">
        <f t="shared" si="1"/>
        <v>Master X-Seed 66-Master Builders</v>
      </c>
      <c r="B18" s="470" t="s">
        <v>1814</v>
      </c>
      <c r="C18" s="471" t="s">
        <v>1966</v>
      </c>
    </row>
    <row r="19" spans="1:3">
      <c r="A19" s="470" t="str">
        <f t="shared" si="1"/>
        <v>MasterMatrix VMA 358-Master Builders</v>
      </c>
      <c r="B19" s="470" t="s">
        <v>1395</v>
      </c>
      <c r="C19" s="471" t="s">
        <v>1966</v>
      </c>
    </row>
    <row r="20" spans="1:3">
      <c r="A20" s="470" t="str">
        <f t="shared" si="1"/>
        <v>MasterMatrix VMA 362-Master Builders</v>
      </c>
      <c r="B20" s="470" t="s">
        <v>1396</v>
      </c>
      <c r="C20" s="471" t="s">
        <v>1966</v>
      </c>
    </row>
    <row r="21" spans="1:3">
      <c r="A21" s="470" t="str">
        <f t="shared" si="1"/>
        <v>MasterPel 240-Master Builders</v>
      </c>
      <c r="B21" s="470" t="s">
        <v>1397</v>
      </c>
      <c r="C21" s="471" t="s">
        <v>1966</v>
      </c>
    </row>
    <row r="22" spans="1:3">
      <c r="A22" s="470" t="str">
        <f t="shared" si="1"/>
        <v>MasterSure Z-60-Master Builders</v>
      </c>
      <c r="B22" s="470" t="s">
        <v>1398</v>
      </c>
      <c r="C22" s="471" t="s">
        <v>1966</v>
      </c>
    </row>
    <row r="23" spans="1:3">
      <c r="A23" s="470" t="str">
        <f t="shared" si="1"/>
        <v>Penetron Admix SB-Penrtron USA</v>
      </c>
      <c r="B23" s="470" t="s">
        <v>1978</v>
      </c>
      <c r="C23" s="471" t="s">
        <v>1979</v>
      </c>
    </row>
    <row r="24" spans="1:3">
      <c r="A24" s="470" t="str">
        <f t="shared" si="1"/>
        <v>Sika WT-240 P-Sika</v>
      </c>
      <c r="B24" s="470" t="s">
        <v>1640</v>
      </c>
      <c r="C24" s="471" t="s">
        <v>1294</v>
      </c>
    </row>
    <row r="25" spans="1:3">
      <c r="A25" s="470" t="str">
        <f t="shared" si="1"/>
        <v>SikaControl NS-Sika</v>
      </c>
      <c r="B25" s="470" t="s">
        <v>1399</v>
      </c>
      <c r="C25" s="472" t="s">
        <v>1294</v>
      </c>
    </row>
    <row r="26" spans="1:3">
      <c r="A26" s="470" t="str">
        <f t="shared" si="1"/>
        <v>SikaControl SC-Sika</v>
      </c>
      <c r="B26" s="470" t="s">
        <v>1788</v>
      </c>
      <c r="C26" s="472" t="s">
        <v>1294</v>
      </c>
    </row>
    <row r="27" spans="1:3">
      <c r="A27" s="470" t="str">
        <f t="shared" si="1"/>
        <v>SikaFume 290 CS-Sika</v>
      </c>
      <c r="B27" s="470" t="s">
        <v>2202</v>
      </c>
      <c r="C27" s="472" t="s">
        <v>1294</v>
      </c>
    </row>
    <row r="28" spans="1:3">
      <c r="A28" s="470" t="str">
        <f t="shared" si="1"/>
        <v>SikaFume 390 CS-Sika</v>
      </c>
      <c r="B28" s="470" t="s">
        <v>2203</v>
      </c>
      <c r="C28" s="472" t="s">
        <v>1294</v>
      </c>
    </row>
    <row r="29" spans="1:3">
      <c r="A29" s="470" t="str">
        <f t="shared" si="1"/>
        <v>Slick-Pak-Fritz-Pak</v>
      </c>
      <c r="B29" s="470" t="s">
        <v>1400</v>
      </c>
      <c r="C29" s="471" t="s">
        <v>1263</v>
      </c>
    </row>
    <row r="30" spans="1:3">
      <c r="A30" s="470" t="str">
        <f t="shared" si="1"/>
        <v>Slick-Pak II-Fritz-Pak</v>
      </c>
      <c r="B30" s="470" t="s">
        <v>1401</v>
      </c>
      <c r="C30" s="472" t="s">
        <v>1263</v>
      </c>
    </row>
    <row r="31" spans="1:3">
      <c r="A31" s="470" t="str">
        <f t="shared" si="1"/>
        <v>Stabilizer-4R-Sika</v>
      </c>
      <c r="B31" s="470" t="s">
        <v>1402</v>
      </c>
      <c r="C31" s="471" t="s">
        <v>1294</v>
      </c>
    </row>
    <row r="32" spans="1:3">
      <c r="A32" s="470" t="str">
        <f t="shared" si="1"/>
        <v>Super Slump Buster-Fritz-Pak</v>
      </c>
      <c r="B32" s="470" t="s">
        <v>1403</v>
      </c>
      <c r="C32" s="472" t="s">
        <v>1263</v>
      </c>
    </row>
    <row r="33" spans="1:3">
      <c r="A33" s="470" t="str">
        <f t="shared" si="1"/>
        <v>UltraFinish 1L-Premiere Admix</v>
      </c>
      <c r="B33" s="470" t="s">
        <v>2204</v>
      </c>
      <c r="C33" s="472" t="s">
        <v>1327</v>
      </c>
    </row>
    <row r="34" spans="1:3">
      <c r="A34" s="470" t="str">
        <f t="shared" si="1"/>
        <v>V-Mar 3-CHRYSO Inc.</v>
      </c>
      <c r="B34" s="470" t="s">
        <v>1404</v>
      </c>
      <c r="C34" s="471" t="s">
        <v>2194</v>
      </c>
    </row>
    <row r="35" spans="1:3">
      <c r="A35" s="470" t="str">
        <f t="shared" si="1"/>
        <v>V-Mar F100-CHRYSO Inc.</v>
      </c>
      <c r="B35" s="470" t="s">
        <v>1641</v>
      </c>
      <c r="C35" s="471" t="s">
        <v>2194</v>
      </c>
    </row>
    <row r="36" spans="1:3">
      <c r="A36" s="470" t="str">
        <f t="shared" si="1"/>
        <v>VMA-758-RussTech, Inc</v>
      </c>
      <c r="B36" s="470" t="s">
        <v>1818</v>
      </c>
      <c r="C36" s="471" t="s">
        <v>1819</v>
      </c>
    </row>
    <row r="37" spans="1:3">
      <c r="A37" s="470" t="str">
        <f t="shared" si="1"/>
        <v>Visctrol-Euclid</v>
      </c>
      <c r="B37" s="470" t="s">
        <v>1405</v>
      </c>
      <c r="C37" s="472" t="s">
        <v>1278</v>
      </c>
    </row>
  </sheetData>
  <sheetProtection algorithmName="SHA-512" hashValue="JTqYsJ4H3I/CVS5H4SXYqS6jz2Apf5D4u4fa+burP5HEUx0GK0SLyvsl+Oji3V7RpBLmayc9m8D44fmAxlpg0g==" saltValue="9gASXHchqAsEixQY3PumEQ==" spinCount="100000" sheet="1" objects="1" scenarios="1"/>
  <mergeCells count="1">
    <mergeCell ref="A1:C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3408A-C4D8-4207-931A-9F35B9042F69}">
  <sheetPr codeName="Sheet25"/>
  <dimension ref="A1:E46"/>
  <sheetViews>
    <sheetView workbookViewId="0">
      <selection sqref="A1:C46"/>
    </sheetView>
  </sheetViews>
  <sheetFormatPr defaultRowHeight="15"/>
  <cols>
    <col min="1" max="1" width="37.33203125" bestFit="1" customWidth="1"/>
    <col min="2" max="2" width="26.21875" bestFit="1" customWidth="1"/>
    <col min="3" max="3" width="19.5546875" bestFit="1" customWidth="1"/>
  </cols>
  <sheetData>
    <row r="1" spans="1:5" ht="15" customHeight="1">
      <c r="A1" s="723" t="s">
        <v>1642</v>
      </c>
      <c r="B1" s="723"/>
      <c r="C1" s="723"/>
      <c r="D1" s="473"/>
      <c r="E1" s="473"/>
    </row>
    <row r="2" spans="1:5" ht="15" customHeight="1">
      <c r="A2" s="723"/>
      <c r="B2" s="723"/>
      <c r="C2" s="723"/>
      <c r="D2" s="473"/>
      <c r="E2" s="473"/>
    </row>
    <row r="3" spans="1:5">
      <c r="A3" s="656"/>
      <c r="B3" s="656"/>
      <c r="C3" s="657"/>
      <c r="D3" s="473"/>
      <c r="E3" s="473"/>
    </row>
    <row r="4" spans="1:5">
      <c r="A4" s="656" t="str">
        <f t="shared" ref="A4:A12" si="0">_xlfn.CONCAT(B4,"-",C4)</f>
        <v>AC 50-ICF Concrete Additives</v>
      </c>
      <c r="B4" s="656" t="s">
        <v>1925</v>
      </c>
      <c r="C4" s="657" t="s">
        <v>1926</v>
      </c>
      <c r="D4" s="473"/>
      <c r="E4" s="473"/>
    </row>
    <row r="5" spans="1:5">
      <c r="A5" s="656" t="str">
        <f t="shared" si="0"/>
        <v>AC 60-ICF Concrete Additives</v>
      </c>
      <c r="B5" s="656" t="s">
        <v>1927</v>
      </c>
      <c r="C5" s="657" t="s">
        <v>1926</v>
      </c>
      <c r="D5" s="473"/>
      <c r="E5" s="473"/>
    </row>
    <row r="6" spans="1:5">
      <c r="A6" s="656" t="str">
        <f>_xlfn.CONCAT(B6,"-",C6)</f>
        <v>Adfil Sinta F19-CHRYSO Inc.</v>
      </c>
      <c r="B6" s="656" t="s">
        <v>2205</v>
      </c>
      <c r="C6" s="658" t="s">
        <v>2194</v>
      </c>
      <c r="D6" s="473"/>
      <c r="E6" s="473"/>
    </row>
    <row r="7" spans="1:5">
      <c r="A7" s="656" t="str">
        <f>_xlfn.CONCAT(B7,"-",C7)</f>
        <v>B-Macro-ICF Concrete Additives</v>
      </c>
      <c r="B7" s="656" t="s">
        <v>2206</v>
      </c>
      <c r="C7" s="657" t="s">
        <v>1926</v>
      </c>
      <c r="D7" s="473"/>
      <c r="E7" s="473"/>
    </row>
    <row r="8" spans="1:5">
      <c r="A8" s="656" t="str">
        <f t="shared" si="0"/>
        <v>BarChip 48-BarChip USA</v>
      </c>
      <c r="B8" s="656" t="s">
        <v>1789</v>
      </c>
      <c r="C8" s="657" t="s">
        <v>1790</v>
      </c>
      <c r="D8" s="473"/>
      <c r="E8" s="473"/>
    </row>
    <row r="9" spans="1:5">
      <c r="A9" s="656" t="str">
        <f t="shared" si="0"/>
        <v>BarChip 54-BarChip USA</v>
      </c>
      <c r="B9" s="656" t="s">
        <v>1791</v>
      </c>
      <c r="C9" s="657" t="s">
        <v>1790</v>
      </c>
      <c r="D9" s="466"/>
      <c r="E9" s="466"/>
    </row>
    <row r="10" spans="1:5">
      <c r="A10" s="656" t="str">
        <f t="shared" si="0"/>
        <v>E-Macro-ICF Concrete Additives</v>
      </c>
      <c r="B10" s="656" t="s">
        <v>2207</v>
      </c>
      <c r="C10" s="657" t="s">
        <v>1926</v>
      </c>
      <c r="D10" s="467"/>
      <c r="E10" s="467"/>
    </row>
    <row r="11" spans="1:5">
      <c r="A11" s="656" t="str">
        <f t="shared" si="0"/>
        <v>Enduro Prime 55-Sika</v>
      </c>
      <c r="B11" s="656" t="s">
        <v>1792</v>
      </c>
      <c r="C11" s="657" t="s">
        <v>1294</v>
      </c>
      <c r="D11" s="467"/>
      <c r="E11" s="467"/>
    </row>
    <row r="12" spans="1:5">
      <c r="A12" s="656" t="str">
        <f t="shared" si="0"/>
        <v>F-Marco-ICF Concrete Additives</v>
      </c>
      <c r="B12" s="656" t="s">
        <v>2208</v>
      </c>
      <c r="C12" s="657" t="s">
        <v>1926</v>
      </c>
      <c r="D12" s="466"/>
      <c r="E12" s="466"/>
    </row>
    <row r="13" spans="1:5">
      <c r="A13" s="656" t="str">
        <f>_xlfn.CONCAT(B13,"-",C13)</f>
        <v>FIB-300-Sika</v>
      </c>
      <c r="B13" s="656" t="s">
        <v>1406</v>
      </c>
      <c r="C13" s="658" t="s">
        <v>1294</v>
      </c>
      <c r="D13" s="466"/>
      <c r="E13" s="466"/>
    </row>
    <row r="14" spans="1:5">
      <c r="A14" s="656" t="str">
        <f t="shared" ref="A14:A46" si="1">_xlfn.CONCAT(B14,"-",C14)</f>
        <v>FIB 300 FabPro-FabPro Polymers</v>
      </c>
      <c r="B14" s="656" t="s">
        <v>1793</v>
      </c>
      <c r="C14" s="658" t="s">
        <v>1821</v>
      </c>
      <c r="D14" s="467"/>
      <c r="E14" s="467"/>
    </row>
    <row r="15" spans="1:5">
      <c r="A15" s="656" t="str">
        <f t="shared" si="1"/>
        <v>FiberForce 300-ABC</v>
      </c>
      <c r="B15" s="656" t="s">
        <v>1407</v>
      </c>
      <c r="C15" s="658" t="s">
        <v>1408</v>
      </c>
      <c r="D15" s="466"/>
      <c r="E15" s="466"/>
    </row>
    <row r="16" spans="1:5">
      <c r="A16" s="656" t="str">
        <f t="shared" si="1"/>
        <v>FiberForce 750-ABC</v>
      </c>
      <c r="B16" s="656" t="s">
        <v>1409</v>
      </c>
      <c r="C16" s="658" t="s">
        <v>1408</v>
      </c>
      <c r="D16" s="466"/>
      <c r="E16" s="466"/>
    </row>
    <row r="17" spans="1:5">
      <c r="A17" s="656" t="str">
        <f t="shared" si="1"/>
        <v>Fibermesh 300-Sika</v>
      </c>
      <c r="B17" s="656" t="s">
        <v>1794</v>
      </c>
      <c r="C17" s="658" t="s">
        <v>1294</v>
      </c>
      <c r="D17" s="466"/>
      <c r="E17" s="466"/>
    </row>
    <row r="18" spans="1:5">
      <c r="A18" s="656" t="str">
        <f t="shared" si="1"/>
        <v>Forta-Ferro-Forta</v>
      </c>
      <c r="B18" s="656" t="s">
        <v>1410</v>
      </c>
      <c r="C18" s="658" t="s">
        <v>1411</v>
      </c>
      <c r="D18" s="466"/>
      <c r="E18" s="466"/>
    </row>
    <row r="19" spans="1:5">
      <c r="A19" s="656" t="str">
        <f t="shared" si="1"/>
        <v>GRT Polymesh Fibrillated Fiber-Mapei</v>
      </c>
      <c r="B19" s="656" t="s">
        <v>1412</v>
      </c>
      <c r="C19" s="658" t="s">
        <v>1625</v>
      </c>
      <c r="D19" s="466"/>
      <c r="E19" s="466"/>
    </row>
    <row r="20" spans="1:5">
      <c r="A20" s="656" t="str">
        <f>_xlfn.CONCAT(B20,"-",C20)</f>
        <v>Genesis Fibrillated-FabPro Polymers</v>
      </c>
      <c r="B20" s="656" t="s">
        <v>1822</v>
      </c>
      <c r="C20" s="658" t="s">
        <v>1821</v>
      </c>
      <c r="D20" s="467"/>
      <c r="E20" s="467"/>
    </row>
    <row r="21" spans="1:5">
      <c r="A21" s="656" t="str">
        <f t="shared" si="1"/>
        <v>Genesis XF-FabPro Polymers</v>
      </c>
      <c r="B21" s="656" t="s">
        <v>1820</v>
      </c>
      <c r="C21" s="658" t="s">
        <v>1821</v>
      </c>
      <c r="D21" s="466"/>
      <c r="E21" s="466"/>
    </row>
    <row r="22" spans="1:5">
      <c r="A22" s="656" t="str">
        <f t="shared" si="1"/>
        <v>MapeFibre ST 42-Mapei</v>
      </c>
      <c r="B22" s="656" t="s">
        <v>1928</v>
      </c>
      <c r="C22" s="658" t="s">
        <v>1625</v>
      </c>
      <c r="D22" s="466"/>
      <c r="E22" s="466"/>
    </row>
    <row r="23" spans="1:5">
      <c r="A23" s="656" t="str">
        <f t="shared" si="1"/>
        <v>MapeFibre ST 50 Twisted-Mapei</v>
      </c>
      <c r="B23" s="656" t="s">
        <v>2116</v>
      </c>
      <c r="C23" s="658" t="s">
        <v>1625</v>
      </c>
      <c r="D23" s="467"/>
      <c r="E23" s="467"/>
    </row>
    <row r="24" spans="1:5">
      <c r="A24" s="656" t="str">
        <f t="shared" si="1"/>
        <v>MasterFiber F 100-Master Builders</v>
      </c>
      <c r="B24" s="656" t="s">
        <v>1413</v>
      </c>
      <c r="C24" s="658" t="s">
        <v>1966</v>
      </c>
      <c r="D24" s="466"/>
      <c r="E24" s="466"/>
    </row>
    <row r="25" spans="1:5">
      <c r="A25" s="656" t="str">
        <f t="shared" si="1"/>
        <v>MasterFiber F 70-Master Builders</v>
      </c>
      <c r="B25" s="656" t="s">
        <v>1414</v>
      </c>
      <c r="C25" s="658" t="s">
        <v>1966</v>
      </c>
      <c r="D25" s="466"/>
      <c r="E25" s="466"/>
    </row>
    <row r="26" spans="1:5">
      <c r="A26" s="656" t="str">
        <f t="shared" si="1"/>
        <v>MasterFiber MAC 100-Master Builders</v>
      </c>
      <c r="B26" s="656" t="s">
        <v>1643</v>
      </c>
      <c r="C26" s="658" t="s">
        <v>1966</v>
      </c>
      <c r="D26" s="466"/>
      <c r="E26" s="466"/>
    </row>
    <row r="27" spans="1:5">
      <c r="A27" s="656" t="str">
        <f t="shared" si="1"/>
        <v>MasterFiber MAC 330-Master Builders</v>
      </c>
      <c r="B27" s="656" t="s">
        <v>2209</v>
      </c>
      <c r="C27" s="658" t="s">
        <v>1966</v>
      </c>
      <c r="D27" s="466"/>
      <c r="E27" s="466"/>
    </row>
    <row r="28" spans="1:5">
      <c r="A28" s="656" t="str">
        <f t="shared" si="1"/>
        <v>MasterFiber MAC 360 FF-Master Builders</v>
      </c>
      <c r="B28" s="656" t="s">
        <v>1415</v>
      </c>
      <c r="C28" s="658" t="s">
        <v>1966</v>
      </c>
      <c r="D28" s="466"/>
      <c r="E28" s="466"/>
    </row>
    <row r="29" spans="1:5">
      <c r="A29" s="656" t="str">
        <f t="shared" si="1"/>
        <v>MasterFiber MAC Matrix-Master Builders</v>
      </c>
      <c r="B29" s="656" t="s">
        <v>1416</v>
      </c>
      <c r="C29" s="658" t="s">
        <v>1966</v>
      </c>
      <c r="D29" s="466"/>
      <c r="E29" s="466"/>
    </row>
    <row r="30" spans="1:5">
      <c r="A30" s="656" t="str">
        <f t="shared" si="1"/>
        <v>MONO 150-Sika</v>
      </c>
      <c r="B30" s="656" t="s">
        <v>1929</v>
      </c>
      <c r="C30" s="658" t="s">
        <v>1294</v>
      </c>
      <c r="D30" s="466"/>
      <c r="E30" s="466"/>
    </row>
    <row r="31" spans="1:5">
      <c r="A31" s="656" t="str">
        <f>_xlfn.CONCAT(B31,"-",C31)</f>
        <v>Performax-FabPro Polymers</v>
      </c>
      <c r="B31" s="656" t="s">
        <v>1823</v>
      </c>
      <c r="C31" s="658" t="s">
        <v>1821</v>
      </c>
      <c r="D31" s="467"/>
      <c r="E31" s="467"/>
    </row>
    <row r="32" spans="1:5">
      <c r="A32" s="656" t="str">
        <f>_xlfn.CONCAT(B32,"-",C32)</f>
        <v>Performax HT-FabPro Polymers</v>
      </c>
      <c r="B32" s="656" t="s">
        <v>1824</v>
      </c>
      <c r="C32" s="658" t="s">
        <v>1821</v>
      </c>
      <c r="D32" s="467"/>
      <c r="E32" s="467"/>
    </row>
    <row r="33" spans="1:5">
      <c r="A33" s="656" t="str">
        <f t="shared" ref="A33:A36" si="2">_xlfn.CONCAT(B33,"-",C33)</f>
        <v>Plexus 44F-FabPro Polymers</v>
      </c>
      <c r="B33" s="656" t="s">
        <v>1825</v>
      </c>
      <c r="C33" s="658" t="s">
        <v>1821</v>
      </c>
      <c r="D33" s="466"/>
      <c r="E33" s="466"/>
    </row>
    <row r="34" spans="1:5">
      <c r="A34" s="656" t="str">
        <f t="shared" si="2"/>
        <v>Plexus 54F-FabPro Polymers</v>
      </c>
      <c r="B34" s="656" t="s">
        <v>1826</v>
      </c>
      <c r="C34" s="658" t="s">
        <v>1821</v>
      </c>
      <c r="D34" s="467"/>
      <c r="E34" s="467"/>
    </row>
    <row r="35" spans="1:5">
      <c r="A35" s="656" t="str">
        <f t="shared" si="2"/>
        <v>Polymesh M-Mapei</v>
      </c>
      <c r="B35" s="656" t="s">
        <v>1930</v>
      </c>
      <c r="C35" s="658" t="s">
        <v>1625</v>
      </c>
      <c r="D35" s="466"/>
      <c r="E35" s="466"/>
    </row>
    <row r="36" spans="1:5">
      <c r="A36" s="656" t="str">
        <f t="shared" si="2"/>
        <v>Polytwist PT54-Polyfibers</v>
      </c>
      <c r="B36" s="656" t="s">
        <v>2210</v>
      </c>
      <c r="C36" s="658" t="s">
        <v>2211</v>
      </c>
      <c r="D36" s="467"/>
      <c r="E36" s="467"/>
    </row>
    <row r="37" spans="1:5">
      <c r="A37" s="656" t="str">
        <f t="shared" si="1"/>
        <v>PSI Fiberstrand F-Euclid</v>
      </c>
      <c r="B37" s="656" t="s">
        <v>1417</v>
      </c>
      <c r="C37" s="658" t="s">
        <v>1278</v>
      </c>
      <c r="D37" s="467"/>
      <c r="E37" s="467"/>
    </row>
    <row r="38" spans="1:5">
      <c r="A38" s="656" t="str">
        <f t="shared" si="1"/>
        <v>SikaFiber 800 Stealth-Sika</v>
      </c>
      <c r="B38" s="656" t="s">
        <v>1931</v>
      </c>
      <c r="C38" s="658" t="s">
        <v>1294</v>
      </c>
      <c r="D38" s="466"/>
      <c r="E38" s="466"/>
    </row>
    <row r="39" spans="1:5">
      <c r="A39" s="656" t="str">
        <f t="shared" si="1"/>
        <v>SikaFiber 820 Stealth TW-Sika</v>
      </c>
      <c r="B39" s="656" t="s">
        <v>2212</v>
      </c>
      <c r="C39" s="658" t="s">
        <v>1294</v>
      </c>
    </row>
    <row r="40" spans="1:5">
      <c r="A40" s="656" t="str">
        <f t="shared" si="1"/>
        <v>SikaFiber Fibermesh 650-Sika</v>
      </c>
      <c r="B40" s="656" t="s">
        <v>2213</v>
      </c>
      <c r="C40" s="658" t="s">
        <v>1294</v>
      </c>
    </row>
    <row r="41" spans="1:5">
      <c r="A41" s="656" t="str">
        <f t="shared" si="1"/>
        <v>SikaFiber Fibermesh 950-Sika</v>
      </c>
      <c r="B41" s="656" t="s">
        <v>2214</v>
      </c>
      <c r="C41" s="658" t="s">
        <v>1294</v>
      </c>
    </row>
    <row r="42" spans="1:5">
      <c r="A42" s="656" t="str">
        <f t="shared" si="1"/>
        <v>STRUX 75/32-CHRYSO Inc.</v>
      </c>
      <c r="B42" s="656" t="s">
        <v>1418</v>
      </c>
      <c r="C42" s="658" t="s">
        <v>2194</v>
      </c>
    </row>
    <row r="43" spans="1:5">
      <c r="A43" s="656" t="str">
        <f t="shared" si="1"/>
        <v>STRUX 90/40-CHRYSO Inc.</v>
      </c>
      <c r="B43" s="656" t="s">
        <v>1419</v>
      </c>
      <c r="C43" s="658" t="s">
        <v>2194</v>
      </c>
    </row>
    <row r="44" spans="1:5">
      <c r="A44" s="656" t="str">
        <f t="shared" si="1"/>
        <v>TUF-STRAND SF-Euclid</v>
      </c>
      <c r="B44" s="656" t="s">
        <v>1420</v>
      </c>
      <c r="C44" s="658" t="s">
        <v>1278</v>
      </c>
    </row>
    <row r="45" spans="1:5">
      <c r="A45" s="656" t="str">
        <f t="shared" si="1"/>
        <v>TUF-STRAND SupermMix 41F-Euclid</v>
      </c>
      <c r="B45" s="656" t="s">
        <v>2117</v>
      </c>
      <c r="C45" s="658" t="s">
        <v>1278</v>
      </c>
    </row>
    <row r="46" spans="1:5">
      <c r="A46" s="656" t="str">
        <f t="shared" si="1"/>
        <v>TUF-STRAND SuperMix SP-Euclid</v>
      </c>
      <c r="B46" s="656" t="s">
        <v>1421</v>
      </c>
      <c r="C46" s="658" t="s">
        <v>1278</v>
      </c>
    </row>
  </sheetData>
  <sheetProtection algorithmName="SHA-512" hashValue="ome3zC1okZA1D4gMsZJJbhexY4rvrrwEf0GYVs75cETrwJUtS1c8/rgB66gznEJEuwOI31H2BZoy+lSQrCixRA==" saltValue="flBNHXmPgsh15Pb54yw58A==" spinCount="100000" sheet="1" objects="1" scenarios="1"/>
  <mergeCells count="1">
    <mergeCell ref="A1:C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77D8C-CCFC-40D4-A455-1B454580B427}">
  <dimension ref="A1:G79"/>
  <sheetViews>
    <sheetView workbookViewId="0">
      <selection sqref="A1:XFD1048576"/>
    </sheetView>
  </sheetViews>
  <sheetFormatPr defaultRowHeight="15.75"/>
  <cols>
    <col min="1" max="1" width="32.5546875" style="659" bestFit="1" customWidth="1"/>
    <col min="2" max="2" width="17.88671875" bestFit="1" customWidth="1"/>
    <col min="3" max="3" width="19" bestFit="1" customWidth="1"/>
    <col min="5" max="5" width="30.44140625" bestFit="1" customWidth="1"/>
    <col min="6" max="6" width="18.109375" bestFit="1" customWidth="1"/>
    <col min="7" max="7" width="15.6640625" bestFit="1" customWidth="1"/>
  </cols>
  <sheetData>
    <row r="1" spans="1:7" ht="15">
      <c r="A1" s="728" t="s">
        <v>2068</v>
      </c>
      <c r="B1" s="728"/>
      <c r="C1" s="728"/>
      <c r="E1" s="729"/>
      <c r="F1" s="729"/>
      <c r="G1" s="729"/>
    </row>
    <row r="2" spans="1:7" ht="15">
      <c r="A2" s="728"/>
      <c r="B2" s="728"/>
      <c r="C2" s="728"/>
      <c r="E2" s="729"/>
      <c r="F2" s="729"/>
      <c r="G2" s="729"/>
    </row>
    <row r="3" spans="1:7">
      <c r="A3" s="629"/>
      <c r="B3" s="629"/>
      <c r="C3" s="629"/>
      <c r="E3" s="465"/>
      <c r="F3" s="465"/>
      <c r="G3" s="465"/>
    </row>
    <row r="4" spans="1:7">
      <c r="A4" s="630" t="str">
        <f>_xlfn.CONCAT(B4, "-", C4)</f>
        <v>ADVA 140M-CHRYSO Inc.</v>
      </c>
      <c r="B4" s="629" t="s">
        <v>1341</v>
      </c>
      <c r="C4" s="631" t="s">
        <v>2194</v>
      </c>
      <c r="E4" s="465"/>
      <c r="F4" s="465"/>
      <c r="G4" s="465"/>
    </row>
    <row r="5" spans="1:7">
      <c r="A5" s="630" t="str">
        <f>_xlfn.CONCAT(B5, "-", C5)</f>
        <v>ADVA Cast 575-CHRYSO Inc.</v>
      </c>
      <c r="B5" s="629" t="s">
        <v>1347</v>
      </c>
      <c r="C5" s="631" t="s">
        <v>2194</v>
      </c>
      <c r="E5" s="465"/>
      <c r="F5" s="465"/>
      <c r="G5" s="465"/>
    </row>
    <row r="6" spans="1:7">
      <c r="A6" s="630" t="str">
        <f t="shared" ref="A6" si="0">_xlfn.CONCAT(B6, "-", C6)</f>
        <v>ADVA Cast 600-CHRYSO Inc.</v>
      </c>
      <c r="B6" s="629" t="s">
        <v>1349</v>
      </c>
      <c r="C6" s="631" t="s">
        <v>2194</v>
      </c>
      <c r="E6" s="465"/>
      <c r="F6" s="465"/>
      <c r="G6" s="465"/>
    </row>
    <row r="7" spans="1:7" ht="15">
      <c r="A7" s="630" t="str">
        <f>_xlfn.CONCAT(B7, "-", C7)</f>
        <v>Accelguard G3-Euclid</v>
      </c>
      <c r="B7" s="630" t="s">
        <v>1304</v>
      </c>
      <c r="C7" s="631" t="s">
        <v>1278</v>
      </c>
      <c r="E7" s="465"/>
      <c r="F7" s="465"/>
      <c r="G7" s="466"/>
    </row>
    <row r="8" spans="1:7" ht="15">
      <c r="A8" s="630" t="str">
        <f t="shared" ref="A8:A79" si="1">_xlfn.CONCAT(B8, "-", C8)</f>
        <v>Chryso Fluid Optima 256-CHRYSO Inc.</v>
      </c>
      <c r="B8" s="630" t="s">
        <v>1305</v>
      </c>
      <c r="C8" s="631" t="s">
        <v>2194</v>
      </c>
      <c r="E8" s="465"/>
      <c r="F8" s="465"/>
      <c r="G8" s="467"/>
    </row>
    <row r="9" spans="1:7" ht="15">
      <c r="A9" s="630" t="str">
        <f t="shared" si="1"/>
        <v>Chryso Optima 249-CHRYSO Inc.</v>
      </c>
      <c r="B9" s="630" t="s">
        <v>2110</v>
      </c>
      <c r="C9" s="631" t="s">
        <v>2194</v>
      </c>
      <c r="E9" s="465"/>
      <c r="F9" s="465"/>
      <c r="G9" s="467"/>
    </row>
    <row r="10" spans="1:7" ht="15">
      <c r="A10" s="630" t="str">
        <f t="shared" si="1"/>
        <v>Clarena MC 2000-CHRYSO Inc.</v>
      </c>
      <c r="B10" s="630" t="s">
        <v>1306</v>
      </c>
      <c r="C10" s="631" t="s">
        <v>2194</v>
      </c>
      <c r="E10" s="465"/>
      <c r="F10" s="465"/>
      <c r="G10" s="466"/>
    </row>
    <row r="11" spans="1:7" ht="15">
      <c r="A11" s="630" t="str">
        <f t="shared" si="1"/>
        <v>Concera SA8080-CHRYSO Inc.</v>
      </c>
      <c r="B11" s="630" t="s">
        <v>1307</v>
      </c>
      <c r="C11" s="631" t="s">
        <v>2194</v>
      </c>
      <c r="E11" s="465"/>
      <c r="F11" s="465"/>
      <c r="G11" s="466"/>
    </row>
    <row r="12" spans="1:7" ht="15">
      <c r="A12" s="630" t="str">
        <f t="shared" si="1"/>
        <v>DNL 485-DarCole Products, Inc</v>
      </c>
      <c r="B12" s="630" t="s">
        <v>1811</v>
      </c>
      <c r="C12" s="631" t="s">
        <v>1810</v>
      </c>
      <c r="E12" s="465"/>
      <c r="F12" s="465"/>
      <c r="G12" s="466"/>
    </row>
    <row r="13" spans="1:7" ht="15">
      <c r="A13" s="630" t="str">
        <f t="shared" si="1"/>
        <v>DNL 785-DarCole Products, Inc</v>
      </c>
      <c r="B13" s="630" t="s">
        <v>1812</v>
      </c>
      <c r="C13" s="631" t="s">
        <v>1810</v>
      </c>
      <c r="E13" s="465"/>
      <c r="F13" s="465"/>
      <c r="G13" s="466"/>
    </row>
    <row r="14" spans="1:7" ht="15">
      <c r="A14" s="630" t="str">
        <f t="shared" si="1"/>
        <v>Dynamon 850-Mapei</v>
      </c>
      <c r="B14" s="630" t="s">
        <v>1988</v>
      </c>
      <c r="C14" s="631" t="s">
        <v>1625</v>
      </c>
      <c r="E14" s="465"/>
      <c r="F14" s="465"/>
      <c r="G14" s="466"/>
    </row>
    <row r="15" spans="1:7" ht="15">
      <c r="A15" s="630" t="str">
        <f t="shared" si="1"/>
        <v>Dynamon Easy 75-Mapei</v>
      </c>
      <c r="B15" s="630" t="s">
        <v>2195</v>
      </c>
      <c r="C15" s="631" t="s">
        <v>1625</v>
      </c>
      <c r="E15" s="465"/>
      <c r="F15" s="465"/>
      <c r="G15" s="466"/>
    </row>
    <row r="16" spans="1:7" ht="15">
      <c r="A16" s="630" t="str">
        <f t="shared" si="1"/>
        <v>Dynamon NRG 1092-Mapei</v>
      </c>
      <c r="B16" s="630" t="s">
        <v>1624</v>
      </c>
      <c r="C16" s="631" t="s">
        <v>1625</v>
      </c>
      <c r="E16" s="465"/>
      <c r="F16" s="465"/>
      <c r="G16" s="467"/>
    </row>
    <row r="17" spans="1:7" ht="15">
      <c r="A17" s="630" t="str">
        <f t="shared" si="1"/>
        <v>Dynamon NRG 546-Mapei</v>
      </c>
      <c r="B17" s="630" t="s">
        <v>1780</v>
      </c>
      <c r="C17" s="631" t="s">
        <v>1625</v>
      </c>
      <c r="E17" s="465"/>
      <c r="F17" s="465"/>
      <c r="G17" s="466"/>
    </row>
    <row r="18" spans="1:7" ht="15">
      <c r="A18" s="630" t="str">
        <f t="shared" si="1"/>
        <v>Dynamon SX-Mapei</v>
      </c>
      <c r="B18" s="630" t="s">
        <v>1352</v>
      </c>
      <c r="C18" s="631" t="s">
        <v>1625</v>
      </c>
      <c r="E18" s="465"/>
      <c r="F18" s="465"/>
      <c r="G18" s="466"/>
    </row>
    <row r="19" spans="1:7" ht="15">
      <c r="A19" s="630" t="str">
        <f t="shared" si="1"/>
        <v>Eucon MR-Euclid</v>
      </c>
      <c r="B19" s="630" t="s">
        <v>1627</v>
      </c>
      <c r="C19" s="631" t="s">
        <v>1278</v>
      </c>
      <c r="E19" s="465"/>
      <c r="F19" s="465"/>
      <c r="G19" s="466"/>
    </row>
    <row r="20" spans="1:7" ht="15">
      <c r="A20" s="630" t="str">
        <f t="shared" si="1"/>
        <v>Eucon MRX-Euclid</v>
      </c>
      <c r="B20" s="630" t="s">
        <v>1308</v>
      </c>
      <c r="C20" s="631" t="s">
        <v>1278</v>
      </c>
      <c r="E20" s="465"/>
      <c r="F20" s="465"/>
      <c r="G20" s="466"/>
    </row>
    <row r="21" spans="1:7" ht="15">
      <c r="A21" s="630" t="str">
        <f t="shared" si="1"/>
        <v>Eucon SE-Euclid</v>
      </c>
      <c r="B21" s="630" t="s">
        <v>1309</v>
      </c>
      <c r="C21" s="631" t="s">
        <v>1278</v>
      </c>
      <c r="E21" s="465"/>
      <c r="F21" s="465"/>
      <c r="G21" s="466"/>
    </row>
    <row r="22" spans="1:7" ht="15">
      <c r="A22" s="630" t="str">
        <f t="shared" si="1"/>
        <v>Eucon WR-Euclid</v>
      </c>
      <c r="B22" s="630" t="s">
        <v>1310</v>
      </c>
      <c r="C22" s="631" t="s">
        <v>1278</v>
      </c>
      <c r="E22" s="465"/>
      <c r="F22" s="465"/>
      <c r="G22" s="466"/>
    </row>
    <row r="23" spans="1:7" ht="15">
      <c r="A23" s="630" t="str">
        <f t="shared" si="1"/>
        <v>Eucon WR-75-Euclid</v>
      </c>
      <c r="B23" s="630" t="s">
        <v>1311</v>
      </c>
      <c r="C23" s="631" t="s">
        <v>1278</v>
      </c>
      <c r="E23" s="465"/>
      <c r="F23" s="465"/>
      <c r="G23" s="466"/>
    </row>
    <row r="24" spans="1:7" ht="15">
      <c r="A24" s="630" t="str">
        <f t="shared" si="1"/>
        <v>Eucon WR-91-Euclid</v>
      </c>
      <c r="B24" s="630" t="s">
        <v>1312</v>
      </c>
      <c r="C24" s="631" t="s">
        <v>1278</v>
      </c>
      <c r="E24" s="465"/>
      <c r="F24" s="465"/>
      <c r="G24" s="466"/>
    </row>
    <row r="25" spans="1:7" ht="15">
      <c r="A25" s="630" t="str">
        <f t="shared" si="1"/>
        <v>Eucon X-15-Euclid</v>
      </c>
      <c r="B25" s="630" t="s">
        <v>1992</v>
      </c>
      <c r="C25" s="631" t="s">
        <v>1278</v>
      </c>
      <c r="E25" s="465"/>
      <c r="F25" s="465"/>
      <c r="G25" s="466"/>
    </row>
    <row r="26" spans="1:7" ht="15">
      <c r="A26" s="630" t="str">
        <f t="shared" si="1"/>
        <v>Extendflo X90-RussTech</v>
      </c>
      <c r="B26" s="630" t="s">
        <v>1313</v>
      </c>
      <c r="C26" s="631" t="s">
        <v>1314</v>
      </c>
      <c r="E26" s="465"/>
      <c r="F26" s="465"/>
      <c r="G26" s="466"/>
    </row>
    <row r="27" spans="1:7" ht="15">
      <c r="A27" s="630" t="str">
        <f t="shared" si="1"/>
        <v>FinishEase-NC-RussTech</v>
      </c>
      <c r="B27" s="630" t="s">
        <v>1315</v>
      </c>
      <c r="C27" s="631" t="s">
        <v>1314</v>
      </c>
      <c r="E27" s="465"/>
      <c r="F27" s="465"/>
      <c r="G27" s="466"/>
    </row>
    <row r="28" spans="1:7" ht="15">
      <c r="A28" s="630" t="str">
        <f t="shared" si="1"/>
        <v>LC-400P-RussTech</v>
      </c>
      <c r="B28" s="630" t="s">
        <v>1316</v>
      </c>
      <c r="C28" s="631" t="s">
        <v>1314</v>
      </c>
      <c r="E28" s="465"/>
      <c r="F28" s="465"/>
      <c r="G28" s="466"/>
    </row>
    <row r="29" spans="1:7" ht="15">
      <c r="A29" s="630" t="str">
        <f t="shared" si="1"/>
        <v>MIRA 62-CHRYSO Inc.</v>
      </c>
      <c r="B29" s="630" t="s">
        <v>1356</v>
      </c>
      <c r="C29" s="631" t="s">
        <v>2194</v>
      </c>
      <c r="E29" s="465"/>
      <c r="F29" s="465"/>
      <c r="G29" s="466"/>
    </row>
    <row r="30" spans="1:7" ht="15">
      <c r="A30" s="630" t="str">
        <f t="shared" si="1"/>
        <v>MIRA 95-CHRYSO Inc.</v>
      </c>
      <c r="B30" s="630" t="s">
        <v>1317</v>
      </c>
      <c r="C30" s="631" t="s">
        <v>2194</v>
      </c>
      <c r="E30" s="465"/>
      <c r="F30" s="465"/>
      <c r="G30" s="466"/>
    </row>
    <row r="31" spans="1:7" ht="15">
      <c r="A31" s="630" t="str">
        <f t="shared" si="1"/>
        <v>MIRA 110-CHRYSO Inc.</v>
      </c>
      <c r="B31" s="630" t="s">
        <v>1355</v>
      </c>
      <c r="C31" s="631" t="s">
        <v>2194</v>
      </c>
      <c r="E31" s="465"/>
      <c r="F31" s="465"/>
      <c r="G31" s="466"/>
    </row>
    <row r="32" spans="1:7" ht="15">
      <c r="A32" s="630" t="str">
        <f t="shared" si="1"/>
        <v>Mapefluid N200-Mapei</v>
      </c>
      <c r="B32" s="630" t="s">
        <v>1781</v>
      </c>
      <c r="C32" s="631" t="s">
        <v>1625</v>
      </c>
      <c r="E32" s="465"/>
      <c r="F32" s="465"/>
      <c r="G32" s="466"/>
    </row>
    <row r="33" spans="1:7" ht="15">
      <c r="A33" s="630" t="str">
        <f>_xlfn.CONCAT(B33, "-", C33)</f>
        <v>Mapeplast 400 NC-Mapei</v>
      </c>
      <c r="B33" s="630" t="s">
        <v>1981</v>
      </c>
      <c r="C33" s="631" t="s">
        <v>1625</v>
      </c>
    </row>
    <row r="34" spans="1:7" ht="15">
      <c r="A34" s="630" t="str">
        <f>_xlfn.CONCAT(B34, "-", C34)</f>
        <v>Mapeplast 440 NS-Mapei</v>
      </c>
      <c r="B34" s="630" t="s">
        <v>2196</v>
      </c>
      <c r="C34" s="631" t="s">
        <v>1625</v>
      </c>
    </row>
    <row r="35" spans="1:7" ht="15">
      <c r="A35" s="630" t="str">
        <f>_xlfn.CONCAT(B35, "-", C35)</f>
        <v>Mapeplast KB 1200-Mapei</v>
      </c>
      <c r="B35" s="630" t="s">
        <v>1993</v>
      </c>
      <c r="C35" s="631" t="s">
        <v>1625</v>
      </c>
    </row>
    <row r="36" spans="1:7" ht="15">
      <c r="A36" s="630" t="str">
        <f t="shared" si="1"/>
        <v>Mapeplast MR 107-Mapei</v>
      </c>
      <c r="B36" s="630" t="s">
        <v>1782</v>
      </c>
      <c r="C36" s="631" t="s">
        <v>1625</v>
      </c>
      <c r="E36" s="465"/>
      <c r="F36" s="465"/>
      <c r="G36" s="466"/>
    </row>
    <row r="37" spans="1:7" ht="15">
      <c r="A37" s="630" t="str">
        <f t="shared" si="1"/>
        <v>Mapeplast N-Mapei</v>
      </c>
      <c r="B37" s="630" t="s">
        <v>1813</v>
      </c>
      <c r="C37" s="631" t="s">
        <v>1625</v>
      </c>
      <c r="E37" s="465"/>
      <c r="F37" s="465"/>
      <c r="G37" s="467"/>
    </row>
    <row r="38" spans="1:7" ht="15">
      <c r="A38" s="630" t="str">
        <f t="shared" si="1"/>
        <v>Mapeplast Paver Plus-Mapei</v>
      </c>
      <c r="B38" s="630" t="s">
        <v>1994</v>
      </c>
      <c r="C38" s="631" t="s">
        <v>1625</v>
      </c>
      <c r="E38" s="465"/>
      <c r="F38" s="465"/>
      <c r="G38" s="467"/>
    </row>
    <row r="39" spans="1:7" ht="15">
      <c r="A39" s="630" t="str">
        <f>_xlfn.CONCAT(B39, "-", C39)</f>
        <v>Master X-Seed 66-Master Builders</v>
      </c>
      <c r="B39" s="630" t="s">
        <v>1814</v>
      </c>
      <c r="C39" s="631" t="s">
        <v>1966</v>
      </c>
      <c r="E39" s="465"/>
      <c r="F39" s="465"/>
      <c r="G39" s="466"/>
    </row>
    <row r="40" spans="1:7" ht="15">
      <c r="A40" s="630" t="str">
        <f>_xlfn.CONCAT(B40, "-", C40)</f>
        <v>MasterEase 5000-Master Builders</v>
      </c>
      <c r="B40" s="630" t="s">
        <v>2111</v>
      </c>
      <c r="C40" s="631" t="s">
        <v>1966</v>
      </c>
      <c r="E40" s="465"/>
      <c r="F40" s="465"/>
      <c r="G40" s="466"/>
    </row>
    <row r="41" spans="1:7" ht="15">
      <c r="A41" s="630" t="str">
        <f>_xlfn.CONCAT(B41, "-", C41)</f>
        <v>MasterGlenium 1466-Master Builders</v>
      </c>
      <c r="B41" s="630" t="s">
        <v>1318</v>
      </c>
      <c r="C41" s="631" t="s">
        <v>1966</v>
      </c>
      <c r="E41" s="465"/>
      <c r="F41" s="465"/>
      <c r="G41" s="466"/>
    </row>
    <row r="42" spans="1:7" ht="15">
      <c r="A42" s="630" t="str">
        <f t="shared" si="1"/>
        <v>MasterGlenium 3030-Master Builders</v>
      </c>
      <c r="B42" s="630" t="s">
        <v>1319</v>
      </c>
      <c r="C42" s="631" t="s">
        <v>1966</v>
      </c>
      <c r="E42" s="465"/>
      <c r="F42" s="465"/>
      <c r="G42" s="466"/>
    </row>
    <row r="43" spans="1:7" ht="15">
      <c r="A43" s="630" t="str">
        <f t="shared" si="1"/>
        <v>MasterGlenium 7500-Master Builders</v>
      </c>
      <c r="B43" s="630" t="s">
        <v>1358</v>
      </c>
      <c r="C43" s="631" t="s">
        <v>1966</v>
      </c>
      <c r="E43" s="465"/>
      <c r="F43" s="465"/>
      <c r="G43" s="466"/>
    </row>
    <row r="44" spans="1:7" ht="15">
      <c r="A44" s="630" t="str">
        <f t="shared" si="1"/>
        <v>MasterGlenium 7920-Master Builders</v>
      </c>
      <c r="B44" s="630" t="s">
        <v>1320</v>
      </c>
      <c r="C44" s="631" t="s">
        <v>1966</v>
      </c>
      <c r="E44" s="465"/>
      <c r="F44" s="465"/>
      <c r="G44" s="467"/>
    </row>
    <row r="45" spans="1:7" ht="15">
      <c r="A45" s="630" t="str">
        <f t="shared" si="1"/>
        <v>MasterPolyheed 900-Master Builders</v>
      </c>
      <c r="B45" s="630" t="s">
        <v>1321</v>
      </c>
      <c r="C45" s="631" t="s">
        <v>1966</v>
      </c>
    </row>
    <row r="46" spans="1:7" ht="15">
      <c r="A46" s="630" t="str">
        <f t="shared" si="1"/>
        <v>MasterPolyheed 997-Master Builders</v>
      </c>
      <c r="B46" s="630" t="s">
        <v>1632</v>
      </c>
      <c r="C46" s="631" t="s">
        <v>1966</v>
      </c>
    </row>
    <row r="47" spans="1:7" ht="15">
      <c r="A47" s="630" t="str">
        <f t="shared" si="1"/>
        <v>MasterPolyheed 1020-Master Builders</v>
      </c>
      <c r="B47" s="630" t="s">
        <v>1628</v>
      </c>
      <c r="C47" s="631" t="s">
        <v>1966</v>
      </c>
    </row>
    <row r="48" spans="1:7" ht="15">
      <c r="A48" s="630" t="str">
        <f t="shared" si="1"/>
        <v>MasterPolyheed 1025-Master Builders</v>
      </c>
      <c r="B48" s="630" t="s">
        <v>1629</v>
      </c>
      <c r="C48" s="631" t="s">
        <v>1966</v>
      </c>
    </row>
    <row r="49" spans="1:3" ht="15">
      <c r="A49" s="630" t="str">
        <f t="shared" si="1"/>
        <v>MasterPolyheed 1720-Master Builders</v>
      </c>
      <c r="B49" s="630" t="s">
        <v>1630</v>
      </c>
      <c r="C49" s="631" t="s">
        <v>1966</v>
      </c>
    </row>
    <row r="50" spans="1:3" ht="15">
      <c r="A50" s="630" t="str">
        <f t="shared" si="1"/>
        <v>MasterPolyheed 1725-Master Builders</v>
      </c>
      <c r="B50" s="630" t="s">
        <v>1631</v>
      </c>
      <c r="C50" s="631" t="s">
        <v>1966</v>
      </c>
    </row>
    <row r="51" spans="1:3" ht="15">
      <c r="A51" s="630" t="str">
        <f t="shared" si="1"/>
        <v>MasterPozzolith 200-Master Builders</v>
      </c>
      <c r="B51" s="630" t="s">
        <v>1322</v>
      </c>
      <c r="C51" s="631" t="s">
        <v>1966</v>
      </c>
    </row>
    <row r="52" spans="1:3" ht="15">
      <c r="A52" s="630" t="str">
        <f t="shared" si="1"/>
        <v>MasterPozzolith 322-Master Builders</v>
      </c>
      <c r="B52" s="630" t="s">
        <v>1323</v>
      </c>
      <c r="C52" s="631" t="s">
        <v>1966</v>
      </c>
    </row>
    <row r="53" spans="1:3" ht="15">
      <c r="A53" s="630" t="str">
        <f t="shared" si="1"/>
        <v>MasterPozzolith 700-Master Builders</v>
      </c>
      <c r="B53" s="630" t="s">
        <v>1324</v>
      </c>
      <c r="C53" s="631" t="s">
        <v>1966</v>
      </c>
    </row>
    <row r="54" spans="1:3" ht="15">
      <c r="A54" s="630" t="str">
        <f t="shared" si="1"/>
        <v>MasterPozzolith 80-Master Builders</v>
      </c>
      <c r="B54" s="630" t="s">
        <v>1325</v>
      </c>
      <c r="C54" s="631" t="s">
        <v>1966</v>
      </c>
    </row>
    <row r="55" spans="1:3" ht="15">
      <c r="A55" s="630" t="str">
        <f t="shared" si="1"/>
        <v>Melchem 38-Mapei</v>
      </c>
      <c r="B55" s="630" t="s">
        <v>1783</v>
      </c>
      <c r="C55" s="631" t="s">
        <v>1625</v>
      </c>
    </row>
    <row r="56" spans="1:3" ht="15">
      <c r="A56" s="630" t="str">
        <f t="shared" si="1"/>
        <v>OptiFlo 500-Premiere Admix</v>
      </c>
      <c r="B56" s="630" t="s">
        <v>1326</v>
      </c>
      <c r="C56" s="631" t="s">
        <v>1327</v>
      </c>
    </row>
    <row r="57" spans="1:3" ht="15">
      <c r="A57" s="630" t="str">
        <f t="shared" si="1"/>
        <v>OptiFlo 700-Premiere Admix</v>
      </c>
      <c r="B57" s="630" t="s">
        <v>1328</v>
      </c>
      <c r="C57" s="631" t="s">
        <v>1327</v>
      </c>
    </row>
    <row r="58" spans="1:3" ht="15">
      <c r="A58" s="630" t="str">
        <f t="shared" si="1"/>
        <v>OptiFlo MR-Premiere Admix</v>
      </c>
      <c r="B58" s="630" t="s">
        <v>1633</v>
      </c>
      <c r="C58" s="631" t="s">
        <v>1327</v>
      </c>
    </row>
    <row r="59" spans="1:3" ht="15">
      <c r="A59" s="630" t="str">
        <f t="shared" si="1"/>
        <v>Plastol 6420-Euclid</v>
      </c>
      <c r="B59" s="630" t="s">
        <v>1329</v>
      </c>
      <c r="C59" s="631" t="s">
        <v>1278</v>
      </c>
    </row>
    <row r="60" spans="1:3" ht="15">
      <c r="A60" s="630" t="str">
        <f t="shared" si="1"/>
        <v>Plastol 6425-Euclid</v>
      </c>
      <c r="B60" s="630" t="s">
        <v>1989</v>
      </c>
      <c r="C60" s="631" t="s">
        <v>1278</v>
      </c>
    </row>
    <row r="61" spans="1:3" ht="15">
      <c r="A61" s="630" t="str">
        <f t="shared" si="1"/>
        <v>Polychem 3000-Mapei</v>
      </c>
      <c r="B61" s="630" t="s">
        <v>1330</v>
      </c>
      <c r="C61" s="631" t="s">
        <v>1625</v>
      </c>
    </row>
    <row r="62" spans="1:3" ht="15">
      <c r="A62" s="630" t="str">
        <f t="shared" si="1"/>
        <v>Sika Plastocrete 10N-Sika</v>
      </c>
      <c r="B62" s="630" t="s">
        <v>1985</v>
      </c>
      <c r="C62" s="631" t="s">
        <v>1294</v>
      </c>
    </row>
    <row r="63" spans="1:3" ht="15">
      <c r="A63" s="630" t="str">
        <f t="shared" si="1"/>
        <v>Sika Plastocrete 161-Sika</v>
      </c>
      <c r="B63" s="630" t="s">
        <v>1986</v>
      </c>
      <c r="C63" s="631" t="s">
        <v>1294</v>
      </c>
    </row>
    <row r="64" spans="1:3" ht="15">
      <c r="A64" s="630" t="str">
        <f t="shared" si="1"/>
        <v>Sika Plastocrete-250-Sika</v>
      </c>
      <c r="B64" s="630" t="s">
        <v>1987</v>
      </c>
      <c r="C64" s="631" t="s">
        <v>1294</v>
      </c>
    </row>
    <row r="65" spans="1:3" ht="15">
      <c r="A65" s="630" t="str">
        <f t="shared" si="1"/>
        <v>Sika ViscoCrete 1000-Sika</v>
      </c>
      <c r="B65" s="630" t="s">
        <v>1367</v>
      </c>
      <c r="C65" s="631" t="s">
        <v>1294</v>
      </c>
    </row>
    <row r="66" spans="1:3" ht="15">
      <c r="A66" s="630" t="str">
        <f t="shared" si="1"/>
        <v>Sika ViscoCrete 1100-Sika</v>
      </c>
      <c r="B66" s="630" t="s">
        <v>1990</v>
      </c>
      <c r="C66" s="631" t="s">
        <v>1294</v>
      </c>
    </row>
    <row r="67" spans="1:3" ht="15">
      <c r="A67" s="630" t="str">
        <f t="shared" si="1"/>
        <v>Sika ViscoFlow-2020-Sika</v>
      </c>
      <c r="B67" s="630" t="s">
        <v>1331</v>
      </c>
      <c r="C67" s="631" t="s">
        <v>1294</v>
      </c>
    </row>
    <row r="68" spans="1:3" ht="15">
      <c r="A68" s="630" t="str">
        <f t="shared" si="1"/>
        <v>Sikament AFM-Sika</v>
      </c>
      <c r="B68" s="630" t="s">
        <v>1372</v>
      </c>
      <c r="C68" s="631" t="s">
        <v>1294</v>
      </c>
    </row>
    <row r="69" spans="1:3" ht="15">
      <c r="A69" s="630" t="str">
        <f t="shared" si="1"/>
        <v>Sikament 686-Sika</v>
      </c>
      <c r="B69" s="630" t="s">
        <v>1332</v>
      </c>
      <c r="C69" s="631" t="s">
        <v>1294</v>
      </c>
    </row>
    <row r="70" spans="1:3" ht="15">
      <c r="A70" s="630" t="str">
        <f t="shared" si="1"/>
        <v>Sikament-475-Sika</v>
      </c>
      <c r="B70" s="630" t="s">
        <v>1333</v>
      </c>
      <c r="C70" s="631" t="s">
        <v>1294</v>
      </c>
    </row>
    <row r="71" spans="1:3" ht="15">
      <c r="A71" s="630" t="str">
        <f>_xlfn.CONCAT(B71, "-", C71)</f>
        <v>Sikaplast 200-Sika</v>
      </c>
      <c r="B71" s="630" t="s">
        <v>1635</v>
      </c>
      <c r="C71" s="631" t="s">
        <v>1294</v>
      </c>
    </row>
    <row r="72" spans="1:3" ht="15">
      <c r="A72" s="630" t="str">
        <f>_xlfn.CONCAT(B72, "-", C72)</f>
        <v>Sikaplast 300GP-Sika</v>
      </c>
      <c r="B72" s="630" t="s">
        <v>1636</v>
      </c>
      <c r="C72" s="631" t="s">
        <v>1294</v>
      </c>
    </row>
    <row r="73" spans="1:3" ht="15">
      <c r="A73" s="630" t="str">
        <f t="shared" si="1"/>
        <v>Superflo 2000 RM-RussTech</v>
      </c>
      <c r="B73" s="630" t="s">
        <v>1334</v>
      </c>
      <c r="C73" s="631" t="s">
        <v>1314</v>
      </c>
    </row>
    <row r="74" spans="1:3" ht="15">
      <c r="A74" s="630" t="str">
        <f t="shared" si="1"/>
        <v>Superflo 2000 SCC-RussTech</v>
      </c>
      <c r="B74" s="630" t="s">
        <v>1335</v>
      </c>
      <c r="C74" s="631" t="s">
        <v>1314</v>
      </c>
    </row>
    <row r="75" spans="1:3" ht="15">
      <c r="A75" s="630" t="str">
        <f t="shared" si="1"/>
        <v>Superflo 2040 RM-RussTech</v>
      </c>
      <c r="B75" s="630" t="s">
        <v>1336</v>
      </c>
      <c r="C75" s="631" t="s">
        <v>1314</v>
      </c>
    </row>
    <row r="76" spans="1:3" ht="15">
      <c r="A76" s="630" t="str">
        <f>_xlfn.CONCAT(B76, "-", C76)</f>
        <v>WRDA 82-CHRYSO Inc.</v>
      </c>
      <c r="B76" s="630" t="s">
        <v>1337</v>
      </c>
      <c r="C76" s="631" t="s">
        <v>2194</v>
      </c>
    </row>
    <row r="77" spans="1:3" ht="15">
      <c r="A77" s="630" t="str">
        <f t="shared" si="1"/>
        <v>ZYLA 620-CHRYSO Inc.</v>
      </c>
      <c r="B77" s="630" t="s">
        <v>1338</v>
      </c>
      <c r="C77" s="631" t="s">
        <v>2194</v>
      </c>
    </row>
    <row r="78" spans="1:3" ht="15">
      <c r="A78" s="630" t="str">
        <f t="shared" si="1"/>
        <v>ZYLA 630-CHRYSO Inc.</v>
      </c>
      <c r="B78" s="630" t="s">
        <v>1339</v>
      </c>
      <c r="C78" s="631" t="s">
        <v>2194</v>
      </c>
    </row>
    <row r="79" spans="1:3" ht="15">
      <c r="A79" s="630" t="str">
        <f t="shared" si="1"/>
        <v>ZYLA 640-CHRYSO Inc.</v>
      </c>
      <c r="B79" s="630" t="s">
        <v>1340</v>
      </c>
      <c r="C79" s="631" t="s">
        <v>2194</v>
      </c>
    </row>
  </sheetData>
  <sheetProtection algorithmName="SHA-512" hashValue="FBqIm+BE6ApaKdDEG6OfAVozuvPMZRNHlrxekrC4b0/I7eue1v3vKXENPRn+rjeKn2fKILMz6CxRo8GRoiklBw==" saltValue="f6gSZd7Q0y3XCdaJQP0P6Q==" spinCount="100000" sheet="1" objects="1" scenarios="1"/>
  <mergeCells count="2">
    <mergeCell ref="A1:C2"/>
    <mergeCell ref="E1:G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EA59C-194C-4703-B0C5-34966A03F60C}">
  <dimension ref="A1:C5"/>
  <sheetViews>
    <sheetView workbookViewId="0">
      <selection activeCell="B13" sqref="B13"/>
    </sheetView>
  </sheetViews>
  <sheetFormatPr defaultRowHeight="15"/>
  <cols>
    <col min="1" max="1" width="32.77734375" bestFit="1" customWidth="1"/>
    <col min="2" max="2" width="13.109375" customWidth="1"/>
    <col min="3" max="3" width="23.6640625" bestFit="1" customWidth="1"/>
  </cols>
  <sheetData>
    <row r="1" spans="1:3">
      <c r="A1" s="730" t="s">
        <v>1968</v>
      </c>
      <c r="B1" s="730"/>
      <c r="C1" s="730"/>
    </row>
    <row r="2" spans="1:3">
      <c r="A2" s="730"/>
      <c r="B2" s="730"/>
      <c r="C2" s="730"/>
    </row>
    <row r="3" spans="1:3" ht="23.25">
      <c r="A3" s="611"/>
      <c r="B3" s="611"/>
      <c r="C3" s="611"/>
    </row>
    <row r="4" spans="1:3">
      <c r="A4" s="468" t="str">
        <f>_xlfn.CONCAT(B4,"-",C4)</f>
        <v>CarbonCure-CarbonCure Tech.</v>
      </c>
      <c r="B4" s="468" t="s">
        <v>1922</v>
      </c>
      <c r="C4" s="612" t="s">
        <v>1923</v>
      </c>
    </row>
    <row r="5" spans="1:3">
      <c r="A5" s="468" t="str">
        <f>_xlfn.CONCAT(B5,"-",C5)</f>
        <v>CarbonJect-CRH</v>
      </c>
      <c r="B5" s="468" t="s">
        <v>1969</v>
      </c>
      <c r="C5" s="612" t="s">
        <v>1970</v>
      </c>
    </row>
  </sheetData>
  <sheetProtection algorithmName="SHA-512" hashValue="YdyNvLmkwLqLQDLzI4EyNQQlDZBdFvbWuK3v2P0FIDPTimiCkQ99shRtuvrr7BDf1PoXkMoe/I/Gzle2BYI4Jg==" saltValue="PGXD9kpkY4Qo4y+oIWwoeA==" spinCount="100000" sheet="1" objects="1" scenarios="1"/>
  <mergeCells count="1">
    <mergeCell ref="A1:C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2DAC6-6895-4CB5-9866-FFB16CCCA0F6}">
  <dimension ref="A1:C16"/>
  <sheetViews>
    <sheetView workbookViewId="0">
      <selection sqref="A1:XFD1048576"/>
    </sheetView>
  </sheetViews>
  <sheetFormatPr defaultColWidth="6.88671875" defaultRowHeight="15"/>
  <cols>
    <col min="1" max="1" width="23.77734375" bestFit="1" customWidth="1"/>
    <col min="2" max="2" width="28" customWidth="1"/>
    <col min="3" max="3" width="21.5546875" customWidth="1"/>
  </cols>
  <sheetData>
    <row r="1" spans="1:3" ht="15" customHeight="1">
      <c r="A1" s="731" t="s">
        <v>1954</v>
      </c>
      <c r="B1" s="731"/>
      <c r="C1" s="731"/>
    </row>
    <row r="2" spans="1:3" ht="15" customHeight="1">
      <c r="A2" s="731"/>
      <c r="B2" s="731"/>
      <c r="C2" s="731"/>
    </row>
    <row r="3" spans="1:3" ht="31.5">
      <c r="A3" s="651"/>
      <c r="B3" s="651"/>
      <c r="C3" s="651"/>
    </row>
    <row r="4" spans="1:3">
      <c r="A4" s="647" t="str">
        <f>_xlfn.CONCAT(B4, "-", C4)</f>
        <v>Aerlite-Aerix Industries</v>
      </c>
      <c r="B4" s="647" t="s">
        <v>2118</v>
      </c>
      <c r="C4" s="647" t="s">
        <v>2119</v>
      </c>
    </row>
    <row r="5" spans="1:3">
      <c r="A5" s="647" t="str">
        <f>_xlfn.CONCAT(B5, "-", C5)</f>
        <v>Cretefoam CMX-Richway Ind.</v>
      </c>
      <c r="B5" s="647" t="s">
        <v>1955</v>
      </c>
      <c r="C5" s="647" t="s">
        <v>1956</v>
      </c>
    </row>
    <row r="6" spans="1:3">
      <c r="A6" s="647" t="str">
        <f t="shared" ref="A6:A16" si="0">_xlfn.CONCAT(B6, "-", C6)</f>
        <v>DNF 842-DarCole Pro.</v>
      </c>
      <c r="B6" s="647" t="s">
        <v>1957</v>
      </c>
      <c r="C6" s="647" t="s">
        <v>1958</v>
      </c>
    </row>
    <row r="7" spans="1:3">
      <c r="A7" s="647" t="str">
        <f t="shared" si="0"/>
        <v>Darafill-CHRYSO Inc.</v>
      </c>
      <c r="B7" s="647" t="s">
        <v>1959</v>
      </c>
      <c r="C7" s="647" t="s">
        <v>2194</v>
      </c>
    </row>
    <row r="8" spans="1:3">
      <c r="A8" s="647" t="str">
        <f t="shared" si="0"/>
        <v>Eucon Easy Fill-Euclid</v>
      </c>
      <c r="B8" s="647" t="s">
        <v>1960</v>
      </c>
      <c r="C8" s="647" t="s">
        <v>1278</v>
      </c>
    </row>
    <row r="9" spans="1:3">
      <c r="A9" s="647" t="str">
        <f t="shared" si="0"/>
        <v>FLO-L-Premiere</v>
      </c>
      <c r="B9" s="647" t="s">
        <v>1961</v>
      </c>
      <c r="C9" s="647" t="s">
        <v>1962</v>
      </c>
    </row>
    <row r="10" spans="1:3">
      <c r="A10" s="647" t="str">
        <f t="shared" si="0"/>
        <v>Fill Flow-Fritz-Pak Corp.</v>
      </c>
      <c r="B10" s="647" t="s">
        <v>2120</v>
      </c>
      <c r="C10" s="647" t="s">
        <v>2121</v>
      </c>
    </row>
    <row r="11" spans="1:3">
      <c r="A11" s="647" t="str">
        <f t="shared" si="0"/>
        <v>Lightcrete-Sika</v>
      </c>
      <c r="B11" s="647" t="s">
        <v>1963</v>
      </c>
      <c r="C11" s="647" t="s">
        <v>1294</v>
      </c>
    </row>
    <row r="12" spans="1:3">
      <c r="A12" s="647" t="str">
        <f t="shared" si="0"/>
        <v>Mapeair LA/L-Mapei</v>
      </c>
      <c r="B12" s="647" t="s">
        <v>1964</v>
      </c>
      <c r="C12" s="647" t="s">
        <v>1625</v>
      </c>
    </row>
    <row r="13" spans="1:3">
      <c r="A13" s="647" t="str">
        <f t="shared" si="0"/>
        <v>MasterCell 25-Master Builders</v>
      </c>
      <c r="B13" s="647" t="s">
        <v>1965</v>
      </c>
      <c r="C13" s="647" t="s">
        <v>1966</v>
      </c>
    </row>
    <row r="14" spans="1:3">
      <c r="A14" s="647" t="str">
        <f t="shared" si="0"/>
        <v>MasterCell 30-Master Builders</v>
      </c>
      <c r="B14" s="647" t="s">
        <v>2215</v>
      </c>
      <c r="C14" s="647" t="s">
        <v>1966</v>
      </c>
    </row>
    <row r="15" spans="1:3">
      <c r="A15" s="647" t="str">
        <f t="shared" si="0"/>
        <v>RUSS-FLO-RussTech</v>
      </c>
      <c r="B15" s="647" t="s">
        <v>1967</v>
      </c>
      <c r="C15" s="647" t="s">
        <v>1314</v>
      </c>
    </row>
    <row r="16" spans="1:3">
      <c r="A16" s="647" t="str">
        <f t="shared" si="0"/>
        <v>Stable Air-CCT</v>
      </c>
      <c r="B16" s="647" t="s">
        <v>1300</v>
      </c>
      <c r="C16" s="647" t="s">
        <v>1301</v>
      </c>
    </row>
  </sheetData>
  <sheetProtection algorithmName="SHA-512" hashValue="x0SRhSFvRvONbp07sI9NHyAFJLbG75PFUWKT5wwK7eVvxbQ6veHwATZo6AfFpB/YDXgJWc+ZrDvZdT/pD4YZlA==" saltValue="FpweFzOME1WeKH72dZJ/7w==" spinCount="100000" sheet="1" objects="1" scenarios="1"/>
  <mergeCells count="1">
    <mergeCell ref="A1:C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E025C-6B7C-4A23-8DEB-E962E1622D99}">
  <sheetPr codeName="Sheet26"/>
  <dimension ref="A1:C102"/>
  <sheetViews>
    <sheetView topLeftCell="A79" workbookViewId="0">
      <selection activeCell="E14" sqref="E14"/>
    </sheetView>
  </sheetViews>
  <sheetFormatPr defaultRowHeight="15"/>
  <cols>
    <col min="1" max="1" width="13.21875" bestFit="1" customWidth="1"/>
  </cols>
  <sheetData>
    <row r="1" spans="1:3">
      <c r="A1" s="732" t="s">
        <v>1644</v>
      </c>
      <c r="B1" s="732"/>
      <c r="C1" s="732"/>
    </row>
    <row r="2" spans="1:3">
      <c r="A2" s="732"/>
      <c r="B2" s="732"/>
      <c r="C2" s="732"/>
    </row>
    <row r="3" spans="1:3">
      <c r="A3" s="474"/>
      <c r="B3" s="474"/>
      <c r="C3" s="474"/>
    </row>
    <row r="4" spans="1:3">
      <c r="A4" s="474" t="str">
        <f>_xlfn.CONCAT(B4, "-", C4)</f>
        <v>01-Adair</v>
      </c>
      <c r="B4" s="475" t="s">
        <v>1645</v>
      </c>
      <c r="C4" s="476" t="s">
        <v>1153</v>
      </c>
    </row>
    <row r="5" spans="1:3">
      <c r="A5" s="474" t="str">
        <f t="shared" ref="A5:A68" si="0">_xlfn.CONCAT(B5, "-", C5)</f>
        <v>02-Adams</v>
      </c>
      <c r="B5" s="475" t="s">
        <v>1646</v>
      </c>
      <c r="C5" s="476" t="s">
        <v>1154</v>
      </c>
    </row>
    <row r="6" spans="1:3">
      <c r="A6" s="474" t="str">
        <f t="shared" si="0"/>
        <v>03-Allamakee</v>
      </c>
      <c r="B6" s="475" t="s">
        <v>1647</v>
      </c>
      <c r="C6" s="476" t="s">
        <v>1155</v>
      </c>
    </row>
    <row r="7" spans="1:3">
      <c r="A7" s="474" t="str">
        <f t="shared" si="0"/>
        <v>04-Appanoose</v>
      </c>
      <c r="B7" s="475" t="s">
        <v>1648</v>
      </c>
      <c r="C7" s="476" t="s">
        <v>1156</v>
      </c>
    </row>
    <row r="8" spans="1:3">
      <c r="A8" s="474" t="str">
        <f t="shared" si="0"/>
        <v>05-Audubon</v>
      </c>
      <c r="B8" s="475" t="s">
        <v>1649</v>
      </c>
      <c r="C8" s="476" t="s">
        <v>1157</v>
      </c>
    </row>
    <row r="9" spans="1:3">
      <c r="A9" s="474" t="str">
        <f t="shared" si="0"/>
        <v>06-Benton</v>
      </c>
      <c r="B9" s="475" t="s">
        <v>1650</v>
      </c>
      <c r="C9" s="476" t="s">
        <v>1158</v>
      </c>
    </row>
    <row r="10" spans="1:3">
      <c r="A10" s="474" t="str">
        <f t="shared" si="0"/>
        <v>07-Black Hawk</v>
      </c>
      <c r="B10" s="475" t="s">
        <v>1651</v>
      </c>
      <c r="C10" s="476" t="s">
        <v>1159</v>
      </c>
    </row>
    <row r="11" spans="1:3">
      <c r="A11" s="474" t="str">
        <f t="shared" si="0"/>
        <v>08-Boone</v>
      </c>
      <c r="B11" s="475" t="s">
        <v>1652</v>
      </c>
      <c r="C11" s="476" t="s">
        <v>1160</v>
      </c>
    </row>
    <row r="12" spans="1:3">
      <c r="A12" s="474" t="str">
        <f t="shared" si="0"/>
        <v>09-Bremer</v>
      </c>
      <c r="B12" s="475" t="s">
        <v>1653</v>
      </c>
      <c r="C12" s="476" t="s">
        <v>1161</v>
      </c>
    </row>
    <row r="13" spans="1:3">
      <c r="A13" s="474" t="str">
        <f t="shared" si="0"/>
        <v>10-Buchanan</v>
      </c>
      <c r="B13" s="475" t="s">
        <v>1654</v>
      </c>
      <c r="C13" s="476" t="s">
        <v>1162</v>
      </c>
    </row>
    <row r="14" spans="1:3">
      <c r="A14" s="474" t="str">
        <f t="shared" si="0"/>
        <v>11-Buena Vista</v>
      </c>
      <c r="B14" s="475" t="s">
        <v>1655</v>
      </c>
      <c r="C14" s="476" t="s">
        <v>1163</v>
      </c>
    </row>
    <row r="15" spans="1:3">
      <c r="A15" s="474" t="str">
        <f t="shared" si="0"/>
        <v>12-Butler</v>
      </c>
      <c r="B15" s="475" t="s">
        <v>1656</v>
      </c>
      <c r="C15" s="476" t="s">
        <v>1164</v>
      </c>
    </row>
    <row r="16" spans="1:3">
      <c r="A16" s="474" t="str">
        <f t="shared" si="0"/>
        <v>13-Calhoun</v>
      </c>
      <c r="B16" s="475" t="s">
        <v>1657</v>
      </c>
      <c r="C16" s="476" t="s">
        <v>1165</v>
      </c>
    </row>
    <row r="17" spans="1:3">
      <c r="A17" s="474" t="str">
        <f t="shared" si="0"/>
        <v>14-Carroll</v>
      </c>
      <c r="B17" s="475" t="s">
        <v>1658</v>
      </c>
      <c r="C17" s="476" t="s">
        <v>1166</v>
      </c>
    </row>
    <row r="18" spans="1:3">
      <c r="A18" s="474" t="str">
        <f t="shared" si="0"/>
        <v>15-Cass</v>
      </c>
      <c r="B18" s="475" t="s">
        <v>1659</v>
      </c>
      <c r="C18" s="476" t="s">
        <v>1167</v>
      </c>
    </row>
    <row r="19" spans="1:3">
      <c r="A19" s="474" t="str">
        <f t="shared" si="0"/>
        <v>16-Cedar</v>
      </c>
      <c r="B19" s="475" t="s">
        <v>1660</v>
      </c>
      <c r="C19" s="476" t="s">
        <v>1168</v>
      </c>
    </row>
    <row r="20" spans="1:3">
      <c r="A20" s="474" t="str">
        <f t="shared" si="0"/>
        <v>17-Cerro Gordo</v>
      </c>
      <c r="B20" s="475" t="s">
        <v>1661</v>
      </c>
      <c r="C20" s="476" t="s">
        <v>1169</v>
      </c>
    </row>
    <row r="21" spans="1:3">
      <c r="A21" s="474" t="str">
        <f t="shared" si="0"/>
        <v>18-Cherokee</v>
      </c>
      <c r="B21" s="475" t="s">
        <v>1662</v>
      </c>
      <c r="C21" s="476" t="s">
        <v>1170</v>
      </c>
    </row>
    <row r="22" spans="1:3">
      <c r="A22" s="474" t="str">
        <f t="shared" si="0"/>
        <v>19-Chickasaw</v>
      </c>
      <c r="B22" s="475" t="s">
        <v>1663</v>
      </c>
      <c r="C22" s="476" t="s">
        <v>1171</v>
      </c>
    </row>
    <row r="23" spans="1:3">
      <c r="A23" s="474" t="str">
        <f t="shared" si="0"/>
        <v>20-Clarke</v>
      </c>
      <c r="B23" s="475" t="s">
        <v>1664</v>
      </c>
      <c r="C23" s="476" t="s">
        <v>1172</v>
      </c>
    </row>
    <row r="24" spans="1:3">
      <c r="A24" s="474" t="str">
        <f t="shared" si="0"/>
        <v>21-Clay</v>
      </c>
      <c r="B24" s="475" t="s">
        <v>1665</v>
      </c>
      <c r="C24" s="476" t="s">
        <v>1173</v>
      </c>
    </row>
    <row r="25" spans="1:3">
      <c r="A25" s="474" t="str">
        <f t="shared" si="0"/>
        <v>22-Clayton</v>
      </c>
      <c r="B25" s="475" t="s">
        <v>1666</v>
      </c>
      <c r="C25" s="476" t="s">
        <v>1174</v>
      </c>
    </row>
    <row r="26" spans="1:3">
      <c r="A26" s="474" t="str">
        <f t="shared" si="0"/>
        <v>23-Clinton</v>
      </c>
      <c r="B26" s="475" t="s">
        <v>1667</v>
      </c>
      <c r="C26" s="476" t="s">
        <v>1175</v>
      </c>
    </row>
    <row r="27" spans="1:3">
      <c r="A27" s="474" t="str">
        <f t="shared" si="0"/>
        <v>24-Crawford</v>
      </c>
      <c r="B27" s="475" t="s">
        <v>1668</v>
      </c>
      <c r="C27" s="476" t="s">
        <v>1176</v>
      </c>
    </row>
    <row r="28" spans="1:3">
      <c r="A28" s="474" t="str">
        <f t="shared" si="0"/>
        <v>25-Dallas</v>
      </c>
      <c r="B28" s="475" t="s">
        <v>1669</v>
      </c>
      <c r="C28" s="476" t="s">
        <v>1177</v>
      </c>
    </row>
    <row r="29" spans="1:3">
      <c r="A29" s="474" t="str">
        <f t="shared" si="0"/>
        <v>26-Davis</v>
      </c>
      <c r="B29" s="475" t="s">
        <v>1670</v>
      </c>
      <c r="C29" s="476" t="s">
        <v>1178</v>
      </c>
    </row>
    <row r="30" spans="1:3">
      <c r="A30" s="474" t="str">
        <f t="shared" si="0"/>
        <v>27-Decatur</v>
      </c>
      <c r="B30" s="475" t="s">
        <v>1671</v>
      </c>
      <c r="C30" s="476" t="s">
        <v>1179</v>
      </c>
    </row>
    <row r="31" spans="1:3">
      <c r="A31" s="474" t="str">
        <f t="shared" si="0"/>
        <v>28-Delaware</v>
      </c>
      <c r="B31" s="475" t="s">
        <v>1672</v>
      </c>
      <c r="C31" s="476" t="s">
        <v>1180</v>
      </c>
    </row>
    <row r="32" spans="1:3">
      <c r="A32" s="474" t="str">
        <f t="shared" si="0"/>
        <v>29-Des Moines</v>
      </c>
      <c r="B32" s="475" t="s">
        <v>1673</v>
      </c>
      <c r="C32" s="476" t="s">
        <v>1181</v>
      </c>
    </row>
    <row r="33" spans="1:3">
      <c r="A33" s="474" t="str">
        <f t="shared" si="0"/>
        <v>30-Dickinson</v>
      </c>
      <c r="B33" s="475" t="s">
        <v>1674</v>
      </c>
      <c r="C33" s="476" t="s">
        <v>1182</v>
      </c>
    </row>
    <row r="34" spans="1:3">
      <c r="A34" s="474" t="str">
        <f t="shared" si="0"/>
        <v>31-Dubuque</v>
      </c>
      <c r="B34" s="475" t="s">
        <v>1675</v>
      </c>
      <c r="C34" s="476" t="s">
        <v>1183</v>
      </c>
    </row>
    <row r="35" spans="1:3">
      <c r="A35" s="474" t="str">
        <f t="shared" si="0"/>
        <v>32-Emmet</v>
      </c>
      <c r="B35" s="475" t="s">
        <v>1676</v>
      </c>
      <c r="C35" s="476" t="s">
        <v>1184</v>
      </c>
    </row>
    <row r="36" spans="1:3">
      <c r="A36" s="474" t="str">
        <f t="shared" si="0"/>
        <v>33-Fayette</v>
      </c>
      <c r="B36" s="475" t="s">
        <v>1677</v>
      </c>
      <c r="C36" s="476" t="s">
        <v>1185</v>
      </c>
    </row>
    <row r="37" spans="1:3">
      <c r="A37" s="474" t="str">
        <f t="shared" si="0"/>
        <v>34-Floyd</v>
      </c>
      <c r="B37" s="475" t="s">
        <v>1678</v>
      </c>
      <c r="C37" s="476" t="s">
        <v>1186</v>
      </c>
    </row>
    <row r="38" spans="1:3">
      <c r="A38" s="474" t="str">
        <f t="shared" si="0"/>
        <v>35-Franklin</v>
      </c>
      <c r="B38" s="475" t="s">
        <v>1679</v>
      </c>
      <c r="C38" s="476" t="s">
        <v>1187</v>
      </c>
    </row>
    <row r="39" spans="1:3">
      <c r="A39" s="474" t="str">
        <f t="shared" si="0"/>
        <v>36-Fremont</v>
      </c>
      <c r="B39" s="475" t="s">
        <v>1680</v>
      </c>
      <c r="C39" s="476" t="s">
        <v>1188</v>
      </c>
    </row>
    <row r="40" spans="1:3">
      <c r="A40" s="474" t="str">
        <f t="shared" si="0"/>
        <v>37-Greene</v>
      </c>
      <c r="B40" s="475" t="s">
        <v>1681</v>
      </c>
      <c r="C40" s="476" t="s">
        <v>1189</v>
      </c>
    </row>
    <row r="41" spans="1:3">
      <c r="A41" s="474" t="str">
        <f t="shared" si="0"/>
        <v>38-Grundy</v>
      </c>
      <c r="B41" s="475" t="s">
        <v>1682</v>
      </c>
      <c r="C41" s="476" t="s">
        <v>1190</v>
      </c>
    </row>
    <row r="42" spans="1:3">
      <c r="A42" s="474" t="str">
        <f t="shared" si="0"/>
        <v>39-Guthrie</v>
      </c>
      <c r="B42" s="475" t="s">
        <v>1683</v>
      </c>
      <c r="C42" s="476" t="s">
        <v>1191</v>
      </c>
    </row>
    <row r="43" spans="1:3">
      <c r="A43" s="474" t="str">
        <f t="shared" si="0"/>
        <v>40-Hamilton</v>
      </c>
      <c r="B43" s="475" t="s">
        <v>1684</v>
      </c>
      <c r="C43" s="476" t="s">
        <v>1192</v>
      </c>
    </row>
    <row r="44" spans="1:3">
      <c r="A44" s="474" t="str">
        <f t="shared" si="0"/>
        <v>41-Hancock</v>
      </c>
      <c r="B44" s="475" t="s">
        <v>1685</v>
      </c>
      <c r="C44" s="476" t="s">
        <v>1193</v>
      </c>
    </row>
    <row r="45" spans="1:3">
      <c r="A45" s="474" t="str">
        <f t="shared" si="0"/>
        <v>42-Hardin</v>
      </c>
      <c r="B45" s="475" t="s">
        <v>1686</v>
      </c>
      <c r="C45" s="476" t="s">
        <v>1194</v>
      </c>
    </row>
    <row r="46" spans="1:3">
      <c r="A46" s="474" t="str">
        <f t="shared" si="0"/>
        <v>43-Harrison</v>
      </c>
      <c r="B46" s="475" t="s">
        <v>1687</v>
      </c>
      <c r="C46" s="476" t="s">
        <v>1195</v>
      </c>
    </row>
    <row r="47" spans="1:3">
      <c r="A47" s="474" t="str">
        <f t="shared" si="0"/>
        <v>44-Henry</v>
      </c>
      <c r="B47" s="475" t="s">
        <v>1688</v>
      </c>
      <c r="C47" s="476" t="s">
        <v>1196</v>
      </c>
    </row>
    <row r="48" spans="1:3">
      <c r="A48" s="474" t="str">
        <f t="shared" si="0"/>
        <v>45-Howard</v>
      </c>
      <c r="B48" s="475" t="s">
        <v>1689</v>
      </c>
      <c r="C48" s="476" t="s">
        <v>1197</v>
      </c>
    </row>
    <row r="49" spans="1:3">
      <c r="A49" s="474" t="str">
        <f t="shared" si="0"/>
        <v>46-Humboldt</v>
      </c>
      <c r="B49" s="475" t="s">
        <v>1690</v>
      </c>
      <c r="C49" s="476" t="s">
        <v>1198</v>
      </c>
    </row>
    <row r="50" spans="1:3">
      <c r="A50" s="474" t="str">
        <f t="shared" si="0"/>
        <v>47-Ida</v>
      </c>
      <c r="B50" s="475" t="s">
        <v>1691</v>
      </c>
      <c r="C50" s="476" t="s">
        <v>1199</v>
      </c>
    </row>
    <row r="51" spans="1:3">
      <c r="A51" s="474" t="str">
        <f t="shared" si="0"/>
        <v>48-Iowa</v>
      </c>
      <c r="B51" s="475" t="s">
        <v>1692</v>
      </c>
      <c r="C51" s="476" t="s">
        <v>1200</v>
      </c>
    </row>
    <row r="52" spans="1:3">
      <c r="A52" s="474" t="str">
        <f t="shared" si="0"/>
        <v>49-Jackson</v>
      </c>
      <c r="B52" s="475" t="s">
        <v>1693</v>
      </c>
      <c r="C52" s="476" t="s">
        <v>1201</v>
      </c>
    </row>
    <row r="53" spans="1:3">
      <c r="A53" s="474" t="str">
        <f t="shared" si="0"/>
        <v>50-Jasper</v>
      </c>
      <c r="B53" s="475" t="s">
        <v>1694</v>
      </c>
      <c r="C53" s="476" t="s">
        <v>1202</v>
      </c>
    </row>
    <row r="54" spans="1:3">
      <c r="A54" s="474" t="str">
        <f t="shared" si="0"/>
        <v>51-Jefferson</v>
      </c>
      <c r="B54" s="475" t="s">
        <v>1695</v>
      </c>
      <c r="C54" s="476" t="s">
        <v>1203</v>
      </c>
    </row>
    <row r="55" spans="1:3">
      <c r="A55" s="474" t="str">
        <f t="shared" si="0"/>
        <v>52-Johnson</v>
      </c>
      <c r="B55" s="475" t="s">
        <v>1696</v>
      </c>
      <c r="C55" s="476" t="s">
        <v>1204</v>
      </c>
    </row>
    <row r="56" spans="1:3">
      <c r="A56" s="474" t="str">
        <f t="shared" si="0"/>
        <v>53-Jones</v>
      </c>
      <c r="B56" s="475" t="s">
        <v>1697</v>
      </c>
      <c r="C56" s="476" t="s">
        <v>1205</v>
      </c>
    </row>
    <row r="57" spans="1:3">
      <c r="A57" s="474" t="str">
        <f t="shared" si="0"/>
        <v>54-Keokuk</v>
      </c>
      <c r="B57" s="475" t="s">
        <v>1698</v>
      </c>
      <c r="C57" s="476" t="s">
        <v>1206</v>
      </c>
    </row>
    <row r="58" spans="1:3">
      <c r="A58" s="474" t="str">
        <f t="shared" si="0"/>
        <v>55-Kossuth</v>
      </c>
      <c r="B58" s="475" t="s">
        <v>1699</v>
      </c>
      <c r="C58" s="476" t="s">
        <v>1207</v>
      </c>
    </row>
    <row r="59" spans="1:3">
      <c r="A59" s="474" t="str">
        <f t="shared" si="0"/>
        <v>56-Lee</v>
      </c>
      <c r="B59" s="475" t="s">
        <v>1700</v>
      </c>
      <c r="C59" s="476" t="s">
        <v>1208</v>
      </c>
    </row>
    <row r="60" spans="1:3">
      <c r="A60" s="474" t="str">
        <f t="shared" si="0"/>
        <v>57-Linn</v>
      </c>
      <c r="B60" s="475" t="s">
        <v>1701</v>
      </c>
      <c r="C60" s="476" t="s">
        <v>1209</v>
      </c>
    </row>
    <row r="61" spans="1:3">
      <c r="A61" s="474" t="str">
        <f t="shared" si="0"/>
        <v>58-Louisa</v>
      </c>
      <c r="B61" s="475" t="s">
        <v>1702</v>
      </c>
      <c r="C61" s="476" t="s">
        <v>1210</v>
      </c>
    </row>
    <row r="62" spans="1:3">
      <c r="A62" s="474" t="str">
        <f t="shared" si="0"/>
        <v>59-Lucas</v>
      </c>
      <c r="B62" s="475" t="s">
        <v>1703</v>
      </c>
      <c r="C62" s="476" t="s">
        <v>1211</v>
      </c>
    </row>
    <row r="63" spans="1:3">
      <c r="A63" s="474" t="str">
        <f t="shared" si="0"/>
        <v>60-Lyon</v>
      </c>
      <c r="B63" s="475" t="s">
        <v>1704</v>
      </c>
      <c r="C63" s="476" t="s">
        <v>1212</v>
      </c>
    </row>
    <row r="64" spans="1:3">
      <c r="A64" s="474" t="str">
        <f t="shared" si="0"/>
        <v>61-Madison</v>
      </c>
      <c r="B64" s="475" t="s">
        <v>1705</v>
      </c>
      <c r="C64" s="476" t="s">
        <v>1213</v>
      </c>
    </row>
    <row r="65" spans="1:3">
      <c r="A65" s="474" t="str">
        <f t="shared" si="0"/>
        <v>62-Mahaska</v>
      </c>
      <c r="B65" s="475" t="s">
        <v>1706</v>
      </c>
      <c r="C65" s="476" t="s">
        <v>1214</v>
      </c>
    </row>
    <row r="66" spans="1:3">
      <c r="A66" s="474" t="str">
        <f t="shared" si="0"/>
        <v>63-Marion</v>
      </c>
      <c r="B66" s="475" t="s">
        <v>1707</v>
      </c>
      <c r="C66" s="476" t="s">
        <v>1215</v>
      </c>
    </row>
    <row r="67" spans="1:3">
      <c r="A67" s="474" t="str">
        <f t="shared" si="0"/>
        <v>64-Marshall</v>
      </c>
      <c r="B67" s="475" t="s">
        <v>1708</v>
      </c>
      <c r="C67" s="476" t="s">
        <v>1216</v>
      </c>
    </row>
    <row r="68" spans="1:3">
      <c r="A68" s="474" t="str">
        <f t="shared" si="0"/>
        <v>65-Mills</v>
      </c>
      <c r="B68" s="475" t="s">
        <v>1709</v>
      </c>
      <c r="C68" s="476" t="s">
        <v>1217</v>
      </c>
    </row>
    <row r="69" spans="1:3">
      <c r="A69" s="474" t="str">
        <f t="shared" ref="A69:A102" si="1">_xlfn.CONCAT(B69, "-", C69)</f>
        <v>66-Mitchell</v>
      </c>
      <c r="B69" s="475" t="s">
        <v>1710</v>
      </c>
      <c r="C69" s="476" t="s">
        <v>1218</v>
      </c>
    </row>
    <row r="70" spans="1:3">
      <c r="A70" s="474" t="str">
        <f t="shared" si="1"/>
        <v>67-Monona</v>
      </c>
      <c r="B70" s="475" t="s">
        <v>1711</v>
      </c>
      <c r="C70" s="476" t="s">
        <v>1219</v>
      </c>
    </row>
    <row r="71" spans="1:3">
      <c r="A71" s="474" t="str">
        <f t="shared" si="1"/>
        <v>68-Monroe</v>
      </c>
      <c r="B71" s="475" t="s">
        <v>1712</v>
      </c>
      <c r="C71" s="476" t="s">
        <v>1220</v>
      </c>
    </row>
    <row r="72" spans="1:3">
      <c r="A72" s="474" t="str">
        <f t="shared" si="1"/>
        <v>69-Montgomery</v>
      </c>
      <c r="B72" s="475" t="s">
        <v>1713</v>
      </c>
      <c r="C72" s="476" t="s">
        <v>1221</v>
      </c>
    </row>
    <row r="73" spans="1:3">
      <c r="A73" s="474" t="str">
        <f t="shared" si="1"/>
        <v>70-Muscatine</v>
      </c>
      <c r="B73" s="475" t="s">
        <v>1714</v>
      </c>
      <c r="C73" s="476" t="s">
        <v>1222</v>
      </c>
    </row>
    <row r="74" spans="1:3">
      <c r="A74" s="474" t="str">
        <f t="shared" si="1"/>
        <v>71-O'Brien</v>
      </c>
      <c r="B74" s="475" t="s">
        <v>1715</v>
      </c>
      <c r="C74" s="476" t="s">
        <v>1223</v>
      </c>
    </row>
    <row r="75" spans="1:3">
      <c r="A75" s="474" t="str">
        <f t="shared" si="1"/>
        <v>72-Osceola</v>
      </c>
      <c r="B75" s="475" t="s">
        <v>1716</v>
      </c>
      <c r="C75" s="476" t="s">
        <v>1224</v>
      </c>
    </row>
    <row r="76" spans="1:3">
      <c r="A76" s="474" t="str">
        <f t="shared" si="1"/>
        <v>73-Page</v>
      </c>
      <c r="B76" s="475" t="s">
        <v>1717</v>
      </c>
      <c r="C76" s="476" t="s">
        <v>1225</v>
      </c>
    </row>
    <row r="77" spans="1:3">
      <c r="A77" s="474" t="str">
        <f t="shared" si="1"/>
        <v>74-Palo Alto</v>
      </c>
      <c r="B77" s="475" t="s">
        <v>1718</v>
      </c>
      <c r="C77" s="476" t="s">
        <v>1226</v>
      </c>
    </row>
    <row r="78" spans="1:3">
      <c r="A78" s="474" t="str">
        <f t="shared" si="1"/>
        <v>75-Plymouth</v>
      </c>
      <c r="B78" s="475" t="s">
        <v>1719</v>
      </c>
      <c r="C78" s="476" t="s">
        <v>1227</v>
      </c>
    </row>
    <row r="79" spans="1:3">
      <c r="A79" s="474" t="str">
        <f t="shared" si="1"/>
        <v>76-Pocahontas</v>
      </c>
      <c r="B79" s="475" t="s">
        <v>1720</v>
      </c>
      <c r="C79" s="476" t="s">
        <v>1228</v>
      </c>
    </row>
    <row r="80" spans="1:3">
      <c r="A80" s="474" t="str">
        <f t="shared" si="1"/>
        <v>77-Polk</v>
      </c>
      <c r="B80" s="475" t="s">
        <v>1721</v>
      </c>
      <c r="C80" s="476" t="s">
        <v>1229</v>
      </c>
    </row>
    <row r="81" spans="1:3">
      <c r="A81" s="474" t="str">
        <f t="shared" si="1"/>
        <v>78-Pottawattamie</v>
      </c>
      <c r="B81" s="475" t="s">
        <v>1722</v>
      </c>
      <c r="C81" s="476" t="s">
        <v>1230</v>
      </c>
    </row>
    <row r="82" spans="1:3">
      <c r="A82" s="474" t="str">
        <f t="shared" si="1"/>
        <v>79-Poweshiek</v>
      </c>
      <c r="B82" s="475" t="s">
        <v>1723</v>
      </c>
      <c r="C82" s="476" t="s">
        <v>1231</v>
      </c>
    </row>
    <row r="83" spans="1:3">
      <c r="A83" s="474" t="str">
        <f t="shared" si="1"/>
        <v>80-Ringgold</v>
      </c>
      <c r="B83" s="475" t="s">
        <v>1724</v>
      </c>
      <c r="C83" s="476" t="s">
        <v>1232</v>
      </c>
    </row>
    <row r="84" spans="1:3">
      <c r="A84" s="474" t="str">
        <f t="shared" si="1"/>
        <v>81-Sac</v>
      </c>
      <c r="B84" s="475" t="s">
        <v>1725</v>
      </c>
      <c r="C84" s="476" t="s">
        <v>1233</v>
      </c>
    </row>
    <row r="85" spans="1:3">
      <c r="A85" s="474" t="str">
        <f t="shared" si="1"/>
        <v>82-Scott</v>
      </c>
      <c r="B85" s="475" t="s">
        <v>1726</v>
      </c>
      <c r="C85" s="476" t="s">
        <v>1234</v>
      </c>
    </row>
    <row r="86" spans="1:3">
      <c r="A86" s="474" t="str">
        <f t="shared" si="1"/>
        <v>83-Shelby</v>
      </c>
      <c r="B86" s="475" t="s">
        <v>1727</v>
      </c>
      <c r="C86" s="476" t="s">
        <v>1235</v>
      </c>
    </row>
    <row r="87" spans="1:3">
      <c r="A87" s="474" t="str">
        <f t="shared" si="1"/>
        <v>84-Sioux</v>
      </c>
      <c r="B87" s="475" t="s">
        <v>1728</v>
      </c>
      <c r="C87" s="476" t="s">
        <v>1236</v>
      </c>
    </row>
    <row r="88" spans="1:3">
      <c r="A88" s="474" t="str">
        <f t="shared" si="1"/>
        <v>85-Story</v>
      </c>
      <c r="B88" s="475" t="s">
        <v>1729</v>
      </c>
      <c r="C88" s="476" t="s">
        <v>1237</v>
      </c>
    </row>
    <row r="89" spans="1:3">
      <c r="A89" s="474" t="str">
        <f t="shared" si="1"/>
        <v>86-Tama</v>
      </c>
      <c r="B89" s="475" t="s">
        <v>1730</v>
      </c>
      <c r="C89" s="476" t="s">
        <v>1238</v>
      </c>
    </row>
    <row r="90" spans="1:3">
      <c r="A90" s="474" t="str">
        <f t="shared" si="1"/>
        <v>87-Taylor</v>
      </c>
      <c r="B90" s="475" t="s">
        <v>1731</v>
      </c>
      <c r="C90" s="476" t="s">
        <v>1239</v>
      </c>
    </row>
    <row r="91" spans="1:3">
      <c r="A91" s="474" t="str">
        <f t="shared" si="1"/>
        <v>88-Union</v>
      </c>
      <c r="B91" s="475" t="s">
        <v>1732</v>
      </c>
      <c r="C91" s="476" t="s">
        <v>1240</v>
      </c>
    </row>
    <row r="92" spans="1:3">
      <c r="A92" s="474" t="str">
        <f t="shared" si="1"/>
        <v>89-Van Buren</v>
      </c>
      <c r="B92" s="475" t="s">
        <v>1733</v>
      </c>
      <c r="C92" s="476" t="s">
        <v>1241</v>
      </c>
    </row>
    <row r="93" spans="1:3">
      <c r="A93" s="474" t="str">
        <f t="shared" si="1"/>
        <v>90-Wapello</v>
      </c>
      <c r="B93" s="475" t="s">
        <v>1734</v>
      </c>
      <c r="C93" s="476" t="s">
        <v>1242</v>
      </c>
    </row>
    <row r="94" spans="1:3">
      <c r="A94" s="474" t="str">
        <f t="shared" si="1"/>
        <v>91-Warren</v>
      </c>
      <c r="B94" s="475" t="s">
        <v>1735</v>
      </c>
      <c r="C94" s="476" t="s">
        <v>1243</v>
      </c>
    </row>
    <row r="95" spans="1:3">
      <c r="A95" s="474" t="str">
        <f t="shared" si="1"/>
        <v>92-Washington</v>
      </c>
      <c r="B95" s="475" t="s">
        <v>1736</v>
      </c>
      <c r="C95" s="476" t="s">
        <v>1244</v>
      </c>
    </row>
    <row r="96" spans="1:3">
      <c r="A96" s="474" t="str">
        <f t="shared" si="1"/>
        <v>93-Wayne</v>
      </c>
      <c r="B96" s="475" t="s">
        <v>1737</v>
      </c>
      <c r="C96" s="476" t="s">
        <v>1245</v>
      </c>
    </row>
    <row r="97" spans="1:3">
      <c r="A97" s="474" t="str">
        <f t="shared" si="1"/>
        <v>94-Webster</v>
      </c>
      <c r="B97" s="475" t="s">
        <v>1738</v>
      </c>
      <c r="C97" s="476" t="s">
        <v>1246</v>
      </c>
    </row>
    <row r="98" spans="1:3">
      <c r="A98" s="474" t="str">
        <f t="shared" si="1"/>
        <v>95-Winnebago</v>
      </c>
      <c r="B98" s="475" t="s">
        <v>1739</v>
      </c>
      <c r="C98" s="476" t="s">
        <v>1247</v>
      </c>
    </row>
    <row r="99" spans="1:3">
      <c r="A99" s="474" t="str">
        <f t="shared" si="1"/>
        <v>96-Winneshiek</v>
      </c>
      <c r="B99" s="475" t="s">
        <v>1740</v>
      </c>
      <c r="C99" s="476" t="s">
        <v>1248</v>
      </c>
    </row>
    <row r="100" spans="1:3">
      <c r="A100" s="474" t="str">
        <f t="shared" si="1"/>
        <v>97-Woodbury</v>
      </c>
      <c r="B100" s="475" t="s">
        <v>1741</v>
      </c>
      <c r="C100" s="476" t="s">
        <v>1249</v>
      </c>
    </row>
    <row r="101" spans="1:3">
      <c r="A101" s="474" t="str">
        <f t="shared" si="1"/>
        <v>98-Worth</v>
      </c>
      <c r="B101" s="475" t="s">
        <v>1742</v>
      </c>
      <c r="C101" s="476" t="s">
        <v>1250</v>
      </c>
    </row>
    <row r="102" spans="1:3">
      <c r="A102" s="474" t="str">
        <f t="shared" si="1"/>
        <v>99-Wright</v>
      </c>
      <c r="B102" s="475" t="s">
        <v>1743</v>
      </c>
      <c r="C102" s="477" t="s">
        <v>1251</v>
      </c>
    </row>
  </sheetData>
  <sheetProtection password="D8DB" sheet="1" objects="1" scenarios="1"/>
  <mergeCells count="1">
    <mergeCell ref="A1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  <pageSetUpPr fitToPage="1"/>
  </sheetPr>
  <dimension ref="A1:R79"/>
  <sheetViews>
    <sheetView view="pageBreakPreview" zoomScale="60" zoomScaleNormal="87" workbookViewId="0">
      <selection activeCell="A3" sqref="A3"/>
    </sheetView>
  </sheetViews>
  <sheetFormatPr defaultRowHeight="15"/>
  <cols>
    <col min="1" max="1" width="19.21875" customWidth="1"/>
    <col min="2" max="2" width="14.6640625" customWidth="1"/>
    <col min="3" max="3" width="12.44140625" customWidth="1"/>
    <col min="4" max="4" width="12.77734375" customWidth="1"/>
    <col min="5" max="5" width="9.21875" customWidth="1"/>
    <col min="6" max="6" width="12.77734375" customWidth="1"/>
    <col min="7" max="7" width="23.77734375" customWidth="1"/>
    <col min="8" max="8" width="12.21875" customWidth="1"/>
    <col min="9" max="9" width="14.109375" style="70" customWidth="1"/>
    <col min="10" max="10" width="8.44140625" customWidth="1"/>
    <col min="11" max="11" width="24.44140625" customWidth="1"/>
    <col min="12" max="12" width="16.77734375" customWidth="1"/>
  </cols>
  <sheetData>
    <row r="1" spans="1:18" ht="15.75">
      <c r="A1" s="518">
        <f>'Mix Info'!M1</f>
        <v>46120</v>
      </c>
      <c r="B1" s="663" t="s">
        <v>113</v>
      </c>
      <c r="C1" s="663"/>
      <c r="D1" s="663"/>
      <c r="E1" s="663"/>
      <c r="F1" s="663"/>
      <c r="G1" s="663"/>
      <c r="H1" s="62"/>
      <c r="I1" s="591" t="s">
        <v>238</v>
      </c>
      <c r="J1" s="131"/>
      <c r="K1" s="84" t="s">
        <v>184</v>
      </c>
      <c r="L1" s="84" t="s">
        <v>185</v>
      </c>
    </row>
    <row r="2" spans="1:18" ht="15.75">
      <c r="A2" s="62" t="str">
        <f>'Mix Info'!L1</f>
        <v>v7.1</v>
      </c>
      <c r="B2" s="663" t="s">
        <v>114</v>
      </c>
      <c r="C2" s="663"/>
      <c r="D2" s="663"/>
      <c r="E2" s="663"/>
      <c r="F2" s="663"/>
      <c r="G2" s="663"/>
      <c r="H2" s="62"/>
      <c r="I2" s="592" t="str">
        <f>IF('Mix Info'!$B$49="M","'M - Units","E - Units")</f>
        <v>E - Units</v>
      </c>
      <c r="J2" s="132"/>
      <c r="K2" s="109" t="s">
        <v>186</v>
      </c>
      <c r="L2" s="109" t="s">
        <v>187</v>
      </c>
    </row>
    <row r="3" spans="1:18" ht="15.75">
      <c r="A3" s="519" t="s">
        <v>1258</v>
      </c>
      <c r="B3" s="663" t="s">
        <v>115</v>
      </c>
      <c r="C3" s="663"/>
      <c r="D3" s="663"/>
      <c r="E3" s="663"/>
      <c r="F3" s="663"/>
      <c r="G3" s="663"/>
      <c r="H3" s="83" t="s">
        <v>1760</v>
      </c>
      <c r="I3" s="86">
        <f>IF('Mix Info'!I10="","",'Mix Info'!I10)</f>
        <v>1</v>
      </c>
      <c r="J3" s="131"/>
      <c r="K3" s="84" t="s">
        <v>188</v>
      </c>
      <c r="L3" s="84" t="s">
        <v>189</v>
      </c>
    </row>
    <row r="4" spans="1:18" ht="15.75">
      <c r="A4" s="62"/>
      <c r="B4" s="62"/>
      <c r="C4" s="62"/>
      <c r="D4" s="62"/>
      <c r="E4" s="62"/>
      <c r="F4" s="62"/>
      <c r="G4" s="62"/>
      <c r="H4" s="62"/>
      <c r="I4" s="593"/>
      <c r="J4" s="131"/>
      <c r="K4" s="118" t="s">
        <v>190</v>
      </c>
      <c r="L4" s="118" t="s">
        <v>191</v>
      </c>
    </row>
    <row r="5" spans="1:18" ht="15.75">
      <c r="A5" s="80" t="s">
        <v>116</v>
      </c>
      <c r="B5" s="81" t="str">
        <f>IF('Mix Info'!B2="","",'Mix Info'!B2)</f>
        <v/>
      </c>
      <c r="C5" s="82"/>
      <c r="D5" s="83"/>
      <c r="E5" s="84"/>
      <c r="F5" s="84"/>
      <c r="G5" s="84"/>
      <c r="H5" s="83" t="s">
        <v>117</v>
      </c>
      <c r="I5" s="86" t="str">
        <f>IF('Mix Info'!B1="","",'Mix Info'!B1)</f>
        <v/>
      </c>
    </row>
    <row r="6" spans="1:18" ht="15.75">
      <c r="A6" s="85"/>
      <c r="B6" s="84"/>
      <c r="C6" s="85"/>
      <c r="D6" s="85"/>
      <c r="E6" s="85"/>
      <c r="F6" s="85"/>
      <c r="G6" s="85"/>
      <c r="H6" s="85"/>
      <c r="I6" s="590"/>
    </row>
    <row r="7" spans="1:18" ht="15.75">
      <c r="A7" s="83" t="s">
        <v>118</v>
      </c>
      <c r="B7" s="166">
        <f>IF('Batch Wts. English'!F3="","", IF(E820150A!B2="FM-Non Critical Fluidity", "FM-Non Critical Fluidity",IF(E820150A!B2="FM-Critical Fluidity", "FM-Critical Fluidity",'Batch Wts. English'!F3)))</f>
        <v>0</v>
      </c>
      <c r="D7" s="122" t="s">
        <v>197</v>
      </c>
      <c r="E7" s="123" t="str">
        <f>IF(B7="FM-Non Critical Fluidity","", IF(B7="FM-Critical Fluidity","",IF(E820150A!B13="","",E820150A!B13)))</f>
        <v/>
      </c>
      <c r="F7" s="85"/>
      <c r="G7" s="85"/>
      <c r="H7" s="83" t="s">
        <v>194</v>
      </c>
      <c r="I7" s="91" t="str">
        <f>IF(AND('Mix Info'!B8="",'Mix Info'!C8=""),"",IF('Mix Info'!B8&lt;&gt;"", 'Mix Info'!B8, 'Mix Info'!C8))</f>
        <v/>
      </c>
    </row>
    <row r="8" spans="1:18" ht="15" customHeight="1">
      <c r="A8" s="85"/>
      <c r="B8" s="85"/>
      <c r="C8" s="84"/>
      <c r="D8" s="85"/>
      <c r="E8" s="84"/>
      <c r="F8" s="85"/>
      <c r="G8" s="85"/>
      <c r="H8" s="85"/>
      <c r="I8" s="590"/>
      <c r="K8" s="664" t="s">
        <v>2029</v>
      </c>
      <c r="L8" s="664"/>
      <c r="M8" s="664"/>
      <c r="N8" s="664"/>
      <c r="O8" s="620"/>
      <c r="P8" s="620"/>
      <c r="Q8" s="620"/>
      <c r="R8" s="620"/>
    </row>
    <row r="9" spans="1:18" ht="15.6" customHeight="1">
      <c r="A9" s="83" t="s">
        <v>199</v>
      </c>
      <c r="B9" s="89">
        <f>IF(B7="FM-Non Critical Fluidity", "100", IF(B7="FM-Critical Fluidity", "100",IF(E820150A!B33="","", E820150A!B33)))</f>
        <v>0</v>
      </c>
      <c r="C9" s="133" t="str">
        <f>IF('Mix Info'!$B$49="M",$K$2,$L$2)</f>
        <v>lbs</v>
      </c>
      <c r="D9" s="83" t="s">
        <v>119</v>
      </c>
      <c r="E9" s="81" t="str">
        <f>IF(AND('Mix Info'!B7="",'Mix Info'!C7=""),"",IF('Mix Info'!B7&lt;&gt;"",'Mix Info'!B7,'Mix Info'!C7))</f>
        <v/>
      </c>
      <c r="F9" s="82"/>
      <c r="G9" s="96"/>
      <c r="H9" s="83" t="s">
        <v>120</v>
      </c>
      <c r="I9" s="91" t="str">
        <f>IF(AND('Mix Info'!B9="",'Mix Info'!C9=""),"",IF('Mix Info'!B9&lt;&gt;"", 'Mix Info'!B9, 'Mix Info'!C9))</f>
        <v/>
      </c>
      <c r="K9" s="664"/>
      <c r="L9" s="664"/>
      <c r="M9" s="664"/>
      <c r="N9" s="664"/>
      <c r="O9" s="620"/>
      <c r="P9" s="620"/>
      <c r="Q9" s="620"/>
      <c r="R9" s="620"/>
    </row>
    <row r="10" spans="1:18" ht="15" customHeight="1">
      <c r="A10" s="84"/>
      <c r="B10" s="120" t="s">
        <v>198</v>
      </c>
      <c r="C10" s="92"/>
      <c r="D10" s="84"/>
      <c r="E10" s="84"/>
      <c r="F10" s="84"/>
      <c r="G10" s="84"/>
      <c r="H10" s="84"/>
      <c r="I10" s="590"/>
      <c r="K10" s="664"/>
      <c r="L10" s="664"/>
      <c r="M10" s="664"/>
      <c r="N10" s="664"/>
      <c r="O10" s="620"/>
      <c r="P10" s="620"/>
      <c r="Q10" s="620"/>
      <c r="R10" s="620"/>
    </row>
    <row r="11" spans="1:18" ht="15" customHeight="1">
      <c r="A11" s="83" t="s">
        <v>200</v>
      </c>
      <c r="B11" s="86" t="str">
        <f>IF(AND('Mix Info'!B12="",'Mix Info'!C12=""),"",IF('Mix Info'!B12&lt;&gt;"", 'Mix Info'!B12, 'Mix Info'!C12))</f>
        <v/>
      </c>
      <c r="C11" s="124">
        <f>IF(B7="FM-Non Critical Fluidity","300", IF(B7="FM-Critical Fluidity","400",IF(E820150A!B35="","",IF(B7="","",E820150A!B35))))</f>
        <v>0</v>
      </c>
      <c r="D11" s="83" t="s">
        <v>119</v>
      </c>
      <c r="E11" s="81" t="str">
        <f>IF(AND('Mix Info'!B10="",'Mix Info'!C10=""),"",IF('Mix Info'!B10&lt;&gt;"", 'Mix Info'!B10, 'Mix Info'!C10))</f>
        <v/>
      </c>
      <c r="F11" s="81"/>
      <c r="G11" s="94"/>
      <c r="H11" s="83" t="s">
        <v>120</v>
      </c>
      <c r="I11" s="91" t="str">
        <f>IF(AND('Mix Info'!B13="",'Mix Info'!C13=""),"",IF('Mix Info'!B13&lt;&gt;"", 'Mix Info'!B13, 'Mix Info'!C13))</f>
        <v/>
      </c>
      <c r="K11" s="664"/>
      <c r="L11" s="664"/>
      <c r="M11" s="664"/>
      <c r="N11" s="664"/>
      <c r="O11" s="620"/>
      <c r="P11" s="620"/>
      <c r="Q11" s="620"/>
      <c r="R11" s="620"/>
    </row>
    <row r="12" spans="1:18" ht="15.75">
      <c r="A12" s="83"/>
      <c r="B12" s="120" t="s">
        <v>198</v>
      </c>
      <c r="C12" s="93"/>
      <c r="D12" s="83"/>
      <c r="E12" s="94"/>
      <c r="F12" s="94"/>
      <c r="G12" s="94"/>
      <c r="H12" s="83"/>
      <c r="I12" s="95"/>
      <c r="K12" s="664"/>
      <c r="L12" s="664"/>
      <c r="M12" s="664"/>
      <c r="N12" s="664"/>
    </row>
    <row r="13" spans="1:18" ht="15.75">
      <c r="A13" s="83" t="s">
        <v>201</v>
      </c>
      <c r="B13" s="86" t="str">
        <f>IF(AND('Mix Info'!B15="",'Mix Info'!C15=""),"",IF('Mix Info'!B15&lt;&gt;"", 'Mix Info'!B15, 'Mix Info'!C15))</f>
        <v/>
      </c>
      <c r="C13" s="124">
        <f>IF(B7="FM-Non Critical Fluidity","", IF(B7="FM-Critical Fluidity","",IF(E820150A!B36="","",IF(B7="","",E820150A!B36))))</f>
        <v>0</v>
      </c>
      <c r="D13" s="83" t="s">
        <v>119</v>
      </c>
      <c r="E13" s="81" t="str">
        <f>IF(AND('Mix Info'!B14="",'Mix Info'!C14=""),"",IF('Mix Info'!B14&lt;&gt;"", 'Mix Info'!B14, 'Mix Info'!C14))</f>
        <v/>
      </c>
      <c r="F13" s="81"/>
      <c r="G13" s="94"/>
      <c r="H13" s="83" t="s">
        <v>120</v>
      </c>
      <c r="I13" s="91" t="str">
        <f>IF(AND('Mix Info'!B16="",'Mix Info'!C16=""),"",IF('Mix Info'!B16&lt;&gt;"", 'Mix Info'!B16, 'Mix Info'!C16))</f>
        <v/>
      </c>
      <c r="K13" s="606" t="str">
        <f>IF(B13="","",IF(B13&gt;Substitution!F4,"YES",""))</f>
        <v/>
      </c>
    </row>
    <row r="14" spans="1:18" ht="15.75">
      <c r="A14" s="83"/>
      <c r="B14" s="520" t="s">
        <v>198</v>
      </c>
      <c r="C14" s="93"/>
      <c r="D14" s="83"/>
      <c r="E14" s="96"/>
      <c r="F14" s="94"/>
      <c r="G14" s="94"/>
      <c r="H14" s="83"/>
      <c r="I14" s="95"/>
      <c r="K14" s="606" t="str">
        <f>IF(H19="","",IF(H19&gt;Substitution!H4,"YES",""))</f>
        <v/>
      </c>
    </row>
    <row r="15" spans="1:18" ht="15.75">
      <c r="A15" s="83" t="str">
        <f>IF(AND('Mix Info'!B40="",'Mix Info'!C40=""),"CO2 Admix (%): ", IF('Mix Info'!B40&lt;&gt;"", _xlfn.CONCAT('Mix Info'!B40, "(%): "), _xlfn.CONCAT('Mix Info'!C40, "(%): ")))</f>
        <v xml:space="preserve">CO2 Admix (%): </v>
      </c>
      <c r="B15" s="523" t="str">
        <f>IF('Mix Info'!F15=0, "", 'Mix Info'!F15)</f>
        <v/>
      </c>
      <c r="C15" s="522">
        <f>IF('Mix Info'!F15=0,0,E820150A!I25)</f>
        <v>0</v>
      </c>
      <c r="D15" s="118" t="s">
        <v>1795</v>
      </c>
      <c r="E15" s="96"/>
      <c r="F15" s="94"/>
      <c r="G15" s="587" t="str">
        <f>IF(B11="","", IF(K12&lt;&gt;"", "Over The Maximum Allowable FlyAsh %. ",""))</f>
        <v/>
      </c>
      <c r="H15" s="83"/>
      <c r="I15" s="95"/>
    </row>
    <row r="16" spans="1:18" ht="15.75">
      <c r="A16" s="83"/>
      <c r="B16" s="83"/>
      <c r="C16" s="93"/>
      <c r="D16" s="83"/>
      <c r="E16" s="96"/>
      <c r="F16" s="94"/>
      <c r="G16" s="587" t="str">
        <f>IF(B13="","", IF(K13&lt;&gt;"", "Over The Maximum Allowable Slag %. ",""))</f>
        <v/>
      </c>
      <c r="H16" s="83"/>
      <c r="I16" s="95"/>
    </row>
    <row r="17" spans="1:9" ht="15.75">
      <c r="A17" s="90"/>
      <c r="B17" s="83" t="s">
        <v>196</v>
      </c>
      <c r="C17" s="89" t="str">
        <f>IF(B7="FM-Non Critical Fluidity", "100", IF(B7="FM-Critical Fluidity", "100",IF(E820150A!B34="","", E820150A!B34)))</f>
        <v/>
      </c>
      <c r="D17" s="133" t="str">
        <f>IF('Mix Info'!$B$49="M",$K$2,$L$2)</f>
        <v>lbs</v>
      </c>
      <c r="E17" s="96"/>
      <c r="F17" s="96"/>
      <c r="G17" s="587" t="str">
        <f>IF(H19="","", IF(K14&lt;&gt;"", "Over The Maximum Allowable Cement Replacement. ",""))</f>
        <v/>
      </c>
      <c r="H17" s="83"/>
      <c r="I17" s="95"/>
    </row>
    <row r="18" spans="1:9" ht="15.75">
      <c r="A18" s="90"/>
      <c r="B18" s="83"/>
      <c r="C18" s="121"/>
      <c r="D18" s="83"/>
      <c r="E18" s="96"/>
      <c r="F18" s="96"/>
      <c r="G18" s="587" t="str">
        <f>IF(B7="","", IF(OR(K12&lt;&gt;"", K13&lt;&gt;"", K14&lt;&gt;""), "Please Refer To The Subsitution Tab.",""))</f>
        <v/>
      </c>
      <c r="H18" s="83"/>
      <c r="I18" s="95"/>
    </row>
    <row r="19" spans="1:9" ht="15.75">
      <c r="A19" s="90"/>
      <c r="B19" s="83" t="s">
        <v>121</v>
      </c>
      <c r="C19" s="89">
        <f>IF(B7="FM-Non Critical Fluidity","400", IF(B7="FM-Critical Fluidity","500",IF(B9=0,0,C11+C13+C17)))</f>
        <v>0</v>
      </c>
      <c r="D19" s="133" t="str">
        <f>IF('Mix Info'!$B$49="M",$K$2,$L$2)</f>
        <v>lbs</v>
      </c>
      <c r="F19" s="83"/>
      <c r="G19" s="83" t="s">
        <v>193</v>
      </c>
      <c r="H19" s="548">
        <f>IF(B7="FM-Non Critical Fluidity","", IF(B7="FM-Critical Fluidity","",IF(B7="","",E820150A!L35)))</f>
        <v>0</v>
      </c>
      <c r="I19" s="95"/>
    </row>
    <row r="20" spans="1:9" ht="15.75">
      <c r="A20" s="84"/>
      <c r="B20" s="84"/>
      <c r="C20" s="84"/>
      <c r="D20" s="84"/>
      <c r="E20" s="84"/>
      <c r="F20" s="84"/>
      <c r="G20" s="84"/>
      <c r="H20" s="84"/>
      <c r="I20" s="590"/>
    </row>
    <row r="21" spans="1:9" ht="15.75">
      <c r="A21" s="83" t="s">
        <v>170</v>
      </c>
      <c r="C21" s="83" t="s">
        <v>122</v>
      </c>
      <c r="D21" s="421" t="str">
        <f>IF(AND('Mix Info'!B17="",'Mix Info'!C17=""),"",IF('Mix Info'!B17&lt;&gt;"",'Mix Info'!B17,'Mix Info'!C17))</f>
        <v/>
      </c>
      <c r="E21" s="422"/>
      <c r="F21" s="99"/>
      <c r="G21" s="169"/>
      <c r="H21" s="83" t="s">
        <v>120</v>
      </c>
      <c r="I21" s="91" t="str">
        <f>IF(AND('Mix Info'!B18="",'Mix Info'!C18=""),"",IF('Mix Info'!B18&lt;&gt;"", 'Mix Info'!B18, 'Mix Info'!C18))</f>
        <v/>
      </c>
    </row>
    <row r="22" spans="1:9" ht="15.75">
      <c r="A22" s="83" t="s">
        <v>170</v>
      </c>
      <c r="C22" s="83" t="s">
        <v>123</v>
      </c>
      <c r="D22" s="419" t="str">
        <f>IF(AND('Mix Info'!B19="",'Mix Info'!C19=""),"", IF('Mix Info'!B19&lt;&gt;"",'Mix Info'!B19,'Mix Info'!C19))</f>
        <v/>
      </c>
      <c r="E22" s="420"/>
      <c r="F22" s="101"/>
      <c r="G22" s="648" t="str">
        <f>IF(D22="","", VLOOKUP(D22, CA!A4:D335, 4,FALSE))</f>
        <v/>
      </c>
      <c r="H22" s="83" t="s">
        <v>120</v>
      </c>
      <c r="I22" s="91" t="str">
        <f>IF(AND('Mix Info'!B20="",'Mix Info'!C20=""),"",IF('Mix Info'!B20&lt;&gt;"", 'Mix Info'!B20, 'Mix Info'!C20))</f>
        <v/>
      </c>
    </row>
    <row r="23" spans="1:9" ht="15.75">
      <c r="A23" s="83" t="s">
        <v>170</v>
      </c>
      <c r="C23" s="83" t="s">
        <v>124</v>
      </c>
      <c r="D23" s="419" t="str">
        <f>IF(AND('Mix Info'!B21="",'Mix Info'!C21=""),"", IF('Mix Info'!B21&lt;&gt;"",'Mix Info'!B21,'Mix Info'!C21))</f>
        <v/>
      </c>
      <c r="E23" s="420"/>
      <c r="F23" s="81"/>
      <c r="G23" s="648" t="str">
        <f>IF(D23="","", VLOOKUP(D23, CA!A4:D335, 4,FALSE))</f>
        <v/>
      </c>
      <c r="H23" s="83" t="s">
        <v>120</v>
      </c>
      <c r="I23" s="91" t="str">
        <f>IF(AND('Mix Info'!B22="",'Mix Info'!C22=""),"",IF('Mix Info'!B22&lt;&gt;"", 'Mix Info'!B22, 'Mix Info'!C22))</f>
        <v/>
      </c>
    </row>
    <row r="24" spans="1:9" ht="15.75">
      <c r="A24" s="84"/>
      <c r="B24" s="84"/>
      <c r="C24" s="83" t="s">
        <v>2063</v>
      </c>
      <c r="D24" s="628" t="str">
        <f>IF('Mix Info'!B42="","",'Mix Info'!B42)</f>
        <v/>
      </c>
      <c r="E24" s="628"/>
      <c r="F24" s="628"/>
      <c r="G24" s="84"/>
      <c r="H24" s="84"/>
      <c r="I24" s="590"/>
    </row>
    <row r="25" spans="1:9" ht="15.75">
      <c r="A25" s="83" t="s">
        <v>125</v>
      </c>
      <c r="B25" s="102" t="str">
        <f>IF(B7="FM-Non Critical Fluidity","", IF(B7="FM-Critical Fluidity","",IF('Batch Wts. English'!G10="","",'Batch Wts. English'!G10)))</f>
        <v/>
      </c>
      <c r="C25" s="83" t="s">
        <v>130</v>
      </c>
      <c r="D25" s="129" t="str">
        <f>IF('Mix Info'!$B$49="M",$K$3,$L$3)</f>
        <v>lbs/cy</v>
      </c>
      <c r="E25" s="130" t="s">
        <v>230</v>
      </c>
      <c r="F25" s="84"/>
      <c r="G25" s="84"/>
      <c r="I25" s="89" t="str">
        <f>IF(B7="FM-Non Critical Fluidity","583.1", IF(B7="FM-Critical Fluidity","583.1",IF('Batch Wts. English'!F10="","",'Batch Wts. English'!F10)))</f>
        <v/>
      </c>
    </row>
    <row r="26" spans="1:9" ht="15.75">
      <c r="A26" s="83" t="s">
        <v>126</v>
      </c>
      <c r="B26" s="102" t="str">
        <f>IF(B7="FM-Non Critical Fluidity","", IF(B7="FM-Critical Fluidity","",IF('Batch Wts. English'!G11="","",'Batch Wts. English'!G11)))</f>
        <v/>
      </c>
      <c r="C26" s="83" t="s">
        <v>231</v>
      </c>
      <c r="D26" s="129" t="str">
        <f>IF('Mix Info'!$B$49="M",$K$3,$L$3)</f>
        <v>lbs/cy</v>
      </c>
      <c r="E26" s="130" t="s">
        <v>232</v>
      </c>
      <c r="F26" s="84"/>
      <c r="G26" s="84"/>
      <c r="I26" s="89" t="e">
        <f>IF(B7="FM-Non Critical Fluidity","", IF(B7="FM-Critical Fluidity","",IF('Batch Wts. English'!F11="","",'Batch Wts. English'!F11)))</f>
        <v>#VALUE!</v>
      </c>
    </row>
    <row r="27" spans="1:9" ht="15.75">
      <c r="A27" s="84"/>
      <c r="B27" s="84"/>
      <c r="C27" s="84"/>
      <c r="D27" s="84"/>
      <c r="E27" s="84"/>
      <c r="F27" s="84"/>
      <c r="G27" s="84"/>
      <c r="H27" s="84"/>
      <c r="I27" s="590"/>
    </row>
    <row r="28" spans="1:9" ht="15.75">
      <c r="A28" s="84" t="s">
        <v>127</v>
      </c>
      <c r="B28" s="83" t="s">
        <v>3</v>
      </c>
      <c r="C28" s="84" t="s">
        <v>128</v>
      </c>
      <c r="D28" s="84"/>
      <c r="E28" s="130" t="str">
        <f>IF('Mix Info'!$B$49="M",$K$1,$L$1)</f>
        <v>(lbs/cy) / ( Sp. Gr. X 62.4 X 27)           =</v>
      </c>
      <c r="F28" s="84"/>
      <c r="G28" s="84"/>
      <c r="H28" s="83"/>
      <c r="I28" s="594" t="str">
        <f>IF(B7="FM-Non Critical Fluidity","", IF(B7="FM-Critical Fluidity","",IF(E820150A!B14="","",E820150A!B14)))</f>
        <v/>
      </c>
    </row>
    <row r="29" spans="1:9" ht="15.75">
      <c r="A29" s="84"/>
      <c r="B29" s="84"/>
      <c r="C29" s="84"/>
      <c r="D29" s="84"/>
      <c r="E29" s="104"/>
      <c r="F29" s="84"/>
      <c r="G29" s="84"/>
      <c r="H29" s="84"/>
      <c r="I29" s="590"/>
    </row>
    <row r="30" spans="1:9" ht="15.75">
      <c r="A30" s="84"/>
      <c r="B30" s="83" t="s">
        <v>4</v>
      </c>
      <c r="C30" s="84" t="s">
        <v>128</v>
      </c>
      <c r="D30" s="84"/>
      <c r="E30" s="130" t="str">
        <f>IF('Mix Info'!$B$49="M",$K$1,$L$1)</f>
        <v>(lbs/cy) / ( Sp. Gr. X 62.4 X 27)           =</v>
      </c>
      <c r="F30" s="84"/>
      <c r="G30" s="84"/>
      <c r="H30" s="83"/>
      <c r="I30" s="594" t="str">
        <f>IF(B7="FM-Non Critical Fluidity","", IF(B7="FM-Critical Fluidity","",IF(E820150A!B15="","",E820150A!B15)))</f>
        <v/>
      </c>
    </row>
    <row r="31" spans="1:9" ht="15.75">
      <c r="A31" s="84"/>
      <c r="B31" s="84"/>
      <c r="C31" s="84"/>
      <c r="D31" s="84"/>
      <c r="E31" s="104"/>
      <c r="F31" s="84"/>
      <c r="G31" s="84"/>
      <c r="H31" s="84"/>
      <c r="I31" s="590"/>
    </row>
    <row r="32" spans="1:9" ht="15.75">
      <c r="A32" s="84"/>
      <c r="B32" s="83" t="s">
        <v>129</v>
      </c>
      <c r="C32" s="84" t="s">
        <v>128</v>
      </c>
      <c r="D32" s="84"/>
      <c r="E32" s="130" t="str">
        <f>IF('Mix Info'!$B$49="M",$K$1,$L$1)</f>
        <v>(lbs/cy) / ( Sp. Gr. X 62.4 X 27)           =</v>
      </c>
      <c r="F32" s="84"/>
      <c r="G32" s="84"/>
      <c r="H32" s="83"/>
      <c r="I32" s="594" t="str">
        <f>IF(B7="FM-Non Critical Fluidity","", IF(B7="FM-Critical Fluidity","",IF(E820150A!B16="","",E820150A!B16)))</f>
        <v/>
      </c>
    </row>
    <row r="33" spans="1:9" ht="15.75">
      <c r="A33" s="84"/>
      <c r="B33" s="84"/>
      <c r="C33" s="84"/>
      <c r="D33" s="84"/>
      <c r="E33" s="84"/>
      <c r="F33" s="84"/>
      <c r="G33" s="84"/>
      <c r="H33" s="84"/>
      <c r="I33" s="590"/>
    </row>
    <row r="34" spans="1:9" ht="15.75">
      <c r="A34" s="84"/>
      <c r="B34" s="83" t="s">
        <v>130</v>
      </c>
      <c r="C34" s="84" t="s">
        <v>128</v>
      </c>
      <c r="D34" s="84"/>
      <c r="E34" s="130" t="str">
        <f>IF('Mix Info'!$B$49="M",$K$1,$L$1)</f>
        <v>(lbs/cy) / ( Sp. Gr. X 62.4 X 27)           =</v>
      </c>
      <c r="F34" s="84"/>
      <c r="G34" s="84"/>
      <c r="H34" s="83"/>
      <c r="I34" s="594" t="str">
        <f>IF(B7="FM-Non Critical Fluidity","", IF(B7="FM-Critical Fluidity","",IF(E820150A!B17="","",E820150A!B17)))</f>
        <v/>
      </c>
    </row>
    <row r="35" spans="1:9" ht="15.75">
      <c r="A35" s="84"/>
      <c r="B35" s="84"/>
      <c r="C35" s="84"/>
      <c r="D35" s="84"/>
      <c r="E35" s="104"/>
      <c r="F35" s="84"/>
      <c r="G35" s="84"/>
      <c r="H35" s="84"/>
      <c r="I35" s="590"/>
    </row>
    <row r="36" spans="1:9" ht="15.75">
      <c r="A36" s="84"/>
      <c r="B36" s="83" t="s">
        <v>132</v>
      </c>
      <c r="C36" s="84" t="s">
        <v>133</v>
      </c>
      <c r="D36" s="84"/>
      <c r="E36" s="84"/>
      <c r="F36" s="84"/>
      <c r="G36" s="84"/>
      <c r="H36" s="84"/>
      <c r="I36" s="595">
        <f>IF(E820150A!B18="","",E820150A!B18)</f>
        <v>0.06</v>
      </c>
    </row>
    <row r="37" spans="1:9" ht="15.75">
      <c r="A37" s="84"/>
      <c r="B37" s="84"/>
      <c r="C37" s="84"/>
      <c r="D37" s="84"/>
      <c r="E37" s="84"/>
      <c r="F37" s="84"/>
      <c r="G37" s="84"/>
      <c r="H37" s="84"/>
      <c r="I37" s="590"/>
    </row>
    <row r="38" spans="1:9" ht="15.75">
      <c r="A38" s="84"/>
      <c r="B38" s="84"/>
      <c r="C38" s="84"/>
      <c r="D38" s="84"/>
      <c r="E38" s="84"/>
      <c r="F38" s="83" t="s">
        <v>32</v>
      </c>
      <c r="G38" s="83"/>
      <c r="H38" s="83" t="s">
        <v>131</v>
      </c>
      <c r="I38" s="594" t="str">
        <f>IF(E820150A!B19="","",E820150A!B19)</f>
        <v/>
      </c>
    </row>
    <row r="39" spans="1:9" ht="15.75">
      <c r="A39" s="84"/>
      <c r="B39" s="84"/>
      <c r="C39" s="84"/>
      <c r="D39" s="84"/>
      <c r="F39" s="87" t="s">
        <v>134</v>
      </c>
      <c r="G39" s="87"/>
      <c r="H39" s="83" t="s">
        <v>131</v>
      </c>
      <c r="I39" s="594" t="str">
        <f>IF(E820150A!B20="","",E820150A!B20)</f>
        <v/>
      </c>
    </row>
    <row r="40" spans="1:9" ht="15.75">
      <c r="A40" s="84"/>
      <c r="B40" s="84"/>
      <c r="C40" s="84"/>
      <c r="D40" s="84"/>
      <c r="E40" s="84"/>
      <c r="F40" s="83" t="s">
        <v>5</v>
      </c>
      <c r="G40" s="83"/>
      <c r="H40" s="83" t="s">
        <v>131</v>
      </c>
      <c r="I40" s="595">
        <v>1</v>
      </c>
    </row>
    <row r="41" spans="1:9" ht="15.75">
      <c r="A41" s="84"/>
      <c r="B41" s="84"/>
      <c r="C41" s="84"/>
      <c r="D41" s="84"/>
      <c r="E41" s="84"/>
      <c r="F41" s="84"/>
      <c r="G41" s="84"/>
      <c r="H41" s="84"/>
      <c r="I41" s="590"/>
    </row>
    <row r="42" spans="1:9" ht="15.75">
      <c r="A42" s="83" t="s">
        <v>135</v>
      </c>
      <c r="B42" s="613">
        <f>IF(B7="FM-Non Critical Fluidity","100", IF(B7="FM-Critical Fluidity","100",IF(E820150A!B22="","",IF(E820150A!B22=0,0,E820150A!B22))))</f>
        <v>0</v>
      </c>
      <c r="C42" s="87" t="s">
        <v>136</v>
      </c>
      <c r="D42" s="87"/>
      <c r="E42" s="87"/>
      <c r="F42" s="87"/>
      <c r="G42" s="87"/>
      <c r="H42" s="83" t="s">
        <v>131</v>
      </c>
      <c r="I42" s="594">
        <f>IF(E820150A!B29="","",E820150A!B29)</f>
        <v>0</v>
      </c>
    </row>
    <row r="43" spans="1:9" ht="15.75">
      <c r="A43" s="83" t="s">
        <v>137</v>
      </c>
      <c r="B43" s="613">
        <f>IF(E820150A!B23=0,0,IF(E820150A!B23=0,"",E820150A!B23))</f>
        <v>0</v>
      </c>
      <c r="C43" s="87" t="s">
        <v>138</v>
      </c>
      <c r="D43" s="87"/>
      <c r="E43" s="87"/>
      <c r="F43" s="87"/>
      <c r="G43" s="87"/>
      <c r="H43" s="83" t="s">
        <v>131</v>
      </c>
      <c r="I43" s="594">
        <f>IF(E820150A!B30=0,0,IF(E820150A!B30=0,"",E820150A!B30))</f>
        <v>0</v>
      </c>
    </row>
    <row r="44" spans="1:9" ht="15.75">
      <c r="A44" s="83" t="s">
        <v>139</v>
      </c>
      <c r="B44" s="613">
        <f>IF(E820150A!B24="","",IF(E820150A!B24=0,0,E820150A!B24))</f>
        <v>0</v>
      </c>
      <c r="C44" s="87" t="s">
        <v>140</v>
      </c>
      <c r="D44" s="87"/>
      <c r="E44" s="87"/>
      <c r="F44" s="87"/>
      <c r="G44" s="87"/>
      <c r="H44" s="83" t="s">
        <v>131</v>
      </c>
      <c r="I44" s="594">
        <f>E820150A!B31</f>
        <v>0</v>
      </c>
    </row>
    <row r="45" spans="1:9" ht="15.75">
      <c r="A45" s="84"/>
      <c r="B45" s="84"/>
      <c r="C45" s="84"/>
      <c r="D45" s="84"/>
      <c r="E45" s="87" t="s">
        <v>141</v>
      </c>
      <c r="F45" s="87"/>
      <c r="G45" s="87"/>
      <c r="H45" s="83" t="s">
        <v>131</v>
      </c>
      <c r="I45" s="594">
        <f>IF(I42="","",SUM(I42:I44))</f>
        <v>0</v>
      </c>
    </row>
    <row r="46" spans="1:9" ht="15.75">
      <c r="B46" s="84"/>
      <c r="C46" s="84"/>
      <c r="D46" s="84"/>
      <c r="E46" s="84"/>
      <c r="F46" s="84"/>
      <c r="G46" s="84"/>
      <c r="H46" s="84"/>
      <c r="I46" s="590"/>
    </row>
    <row r="47" spans="1:9" ht="15.75">
      <c r="A47" s="84" t="s">
        <v>142</v>
      </c>
      <c r="B47" s="84"/>
      <c r="C47" s="118" t="s">
        <v>234</v>
      </c>
      <c r="D47" s="130" t="str">
        <f>IF('Mix Info'!$B$49="M",$K$4,$L$4)</f>
        <v>Abs Vol. X Sp. Gr. X 62.4 X 27</v>
      </c>
      <c r="E47" s="87"/>
      <c r="F47" s="87"/>
      <c r="G47" s="87"/>
      <c r="H47" s="83" t="s">
        <v>131</v>
      </c>
      <c r="I47" s="89">
        <f>IF(B7="FM-Non Critical Fluidity","2600", IF(B7="FM-Critical Fluidity","2600",IF(E820150A!B38="","",E820150A!B38)))</f>
        <v>0</v>
      </c>
    </row>
    <row r="48" spans="1:9" ht="15.75">
      <c r="A48" s="84"/>
      <c r="B48" s="84"/>
      <c r="C48" s="118"/>
      <c r="D48" s="87"/>
      <c r="E48" s="88"/>
      <c r="F48" s="87"/>
      <c r="G48" s="87"/>
      <c r="H48" s="84"/>
      <c r="I48" s="596"/>
    </row>
    <row r="49" spans="1:9" ht="15.75">
      <c r="A49" s="84"/>
      <c r="B49" s="84"/>
      <c r="C49" s="118" t="s">
        <v>235</v>
      </c>
      <c r="D49" s="130" t="str">
        <f>IF('Mix Info'!$B$49="M",$K$4,$L$4)</f>
        <v>Abs Vol. X Sp. Gr. X 62.4 X 27</v>
      </c>
      <c r="E49" s="87"/>
      <c r="F49" s="87"/>
      <c r="G49" s="87"/>
      <c r="H49" s="83" t="s">
        <v>131</v>
      </c>
      <c r="I49" s="89">
        <f>IF(E820150A!B39="","",E820150A!B39)</f>
        <v>0</v>
      </c>
    </row>
    <row r="50" spans="1:9" ht="15.75">
      <c r="A50" s="84"/>
      <c r="B50" s="84"/>
      <c r="C50" s="118"/>
      <c r="D50" s="84"/>
      <c r="E50" s="84"/>
      <c r="F50" s="84"/>
      <c r="G50" s="84"/>
      <c r="H50" s="84"/>
      <c r="I50" s="596"/>
    </row>
    <row r="51" spans="1:9" ht="15.75">
      <c r="A51" s="84"/>
      <c r="B51" s="84"/>
      <c r="C51" s="118" t="s">
        <v>236</v>
      </c>
      <c r="D51" s="130" t="str">
        <f>IF('Mix Info'!$B$49="M",$K$4,$L$4)</f>
        <v>Abs Vol. X Sp. Gr. X 62.4 X 27</v>
      </c>
      <c r="E51" s="87"/>
      <c r="F51" s="87"/>
      <c r="G51" s="87"/>
      <c r="H51" s="83" t="s">
        <v>131</v>
      </c>
      <c r="I51" s="89">
        <f>IF(B7="FM-Non Critical Fluidity","", IF(B7="FM-Critical Fluidity","",IF(E820150A!B40="","",E820150A!B40)))</f>
        <v>0</v>
      </c>
    </row>
    <row r="52" spans="1:9" ht="15.75">
      <c r="A52" s="84"/>
      <c r="B52" s="84"/>
      <c r="C52" s="84"/>
      <c r="D52" s="87"/>
      <c r="E52" s="88"/>
      <c r="F52" s="87"/>
      <c r="G52" s="87"/>
      <c r="H52" s="84"/>
      <c r="I52" s="590"/>
    </row>
    <row r="53" spans="1:9" ht="15.75">
      <c r="A53" s="84" t="s">
        <v>143</v>
      </c>
      <c r="C53" s="84"/>
      <c r="D53" s="83" t="s">
        <v>144</v>
      </c>
      <c r="E53" s="179" t="str">
        <f>C17</f>
        <v/>
      </c>
      <c r="F53" s="130" t="str">
        <f>IF('Mix Info'!$B$49="M",$K$3,$L$3)</f>
        <v>lbs/cy</v>
      </c>
      <c r="G53" s="130"/>
      <c r="H53" s="84"/>
      <c r="I53" s="590"/>
    </row>
    <row r="54" spans="1:9" ht="15.75">
      <c r="A54" s="84"/>
      <c r="D54" s="83" t="s">
        <v>145</v>
      </c>
      <c r="E54" s="179">
        <f>$C$11</f>
        <v>0</v>
      </c>
      <c r="F54" s="130" t="str">
        <f>IF('Mix Info'!$B$49="M",$K$3,$L$3)</f>
        <v>lbs/cy</v>
      </c>
      <c r="G54" s="130"/>
      <c r="H54" s="84"/>
      <c r="I54" s="590"/>
    </row>
    <row r="55" spans="1:9" ht="15.75">
      <c r="A55" s="168" t="s">
        <v>259</v>
      </c>
      <c r="B55" s="177" t="str">
        <f>IF('Mix Info'!B43="","",('Mix Info'!B43))</f>
        <v/>
      </c>
      <c r="D55" s="83" t="s">
        <v>146</v>
      </c>
      <c r="E55" s="179">
        <f>$C$13</f>
        <v>0</v>
      </c>
      <c r="F55" s="130" t="str">
        <f>IF('Mix Info'!$B$49="M",$K$3,$L$3)</f>
        <v>lbs/cy</v>
      </c>
      <c r="G55" s="130"/>
      <c r="H55" s="84"/>
      <c r="I55" s="590"/>
    </row>
    <row r="56" spans="1:9" ht="15.75">
      <c r="A56" s="165" t="s">
        <v>260</v>
      </c>
      <c r="B56" s="178" t="str">
        <f>IF('Mix Info'!B44="","",('Mix Info'!B44))</f>
        <v/>
      </c>
      <c r="D56" s="83" t="s">
        <v>147</v>
      </c>
      <c r="E56" s="179" t="str">
        <f>$I$25</f>
        <v/>
      </c>
      <c r="F56" s="130" t="str">
        <f>IF('Mix Info'!$B$49="M",$K$3,$L$3)</f>
        <v>lbs/cy</v>
      </c>
      <c r="G56" s="130"/>
      <c r="H56" s="84"/>
      <c r="I56" s="590"/>
    </row>
    <row r="57" spans="1:9" ht="15.75">
      <c r="A57" s="71" t="s">
        <v>1252</v>
      </c>
      <c r="B57" s="177" t="str">
        <f>IF('Mix Info'!B45="","",('Mix Info'!B45))</f>
        <v/>
      </c>
      <c r="D57" s="83" t="s">
        <v>148</v>
      </c>
      <c r="E57" s="179">
        <f>$I$47</f>
        <v>0</v>
      </c>
      <c r="F57" s="130" t="str">
        <f>IF('Mix Info'!$B$49="M",$K$3,$L$3)</f>
        <v>lbs/cy</v>
      </c>
      <c r="G57" s="130"/>
      <c r="H57" s="84"/>
      <c r="I57" s="590"/>
    </row>
    <row r="58" spans="1:9" ht="15.75">
      <c r="A58" s="71" t="s">
        <v>1253</v>
      </c>
      <c r="B58" s="178" t="str">
        <f>IF('Mix Info'!B46="","",('Mix Info'!B46))</f>
        <v/>
      </c>
      <c r="C58" s="104"/>
      <c r="D58" s="83" t="s">
        <v>149</v>
      </c>
      <c r="E58" s="179">
        <f>$I$49</f>
        <v>0</v>
      </c>
      <c r="F58" s="130" t="str">
        <f>IF('Mix Info'!$B$49="M",$K$3,$L$3)</f>
        <v>lbs/cy</v>
      </c>
      <c r="G58" s="130"/>
      <c r="H58" s="84"/>
      <c r="I58" s="590"/>
    </row>
    <row r="59" spans="1:9" ht="15.75">
      <c r="A59" s="84"/>
      <c r="B59" s="84"/>
      <c r="C59" s="104"/>
      <c r="D59" s="83" t="s">
        <v>150</v>
      </c>
      <c r="E59" s="179">
        <f>$I$51</f>
        <v>0</v>
      </c>
      <c r="F59" s="130" t="str">
        <f>IF('Mix Info'!$B$49="M",$K$3,$L$3)</f>
        <v>lbs/cy</v>
      </c>
      <c r="G59" s="130"/>
      <c r="H59" s="84"/>
      <c r="I59" s="590"/>
    </row>
    <row r="60" spans="1:9" ht="15.75">
      <c r="A60" s="84"/>
      <c r="B60" s="84"/>
      <c r="C60" s="104"/>
      <c r="D60" s="83"/>
      <c r="E60" s="547"/>
      <c r="F60" s="130"/>
      <c r="G60" s="130"/>
      <c r="H60" s="84"/>
      <c r="I60" s="590"/>
    </row>
    <row r="61" spans="1:9" ht="15.75">
      <c r="A61" s="84"/>
      <c r="B61" s="84"/>
      <c r="C61" s="104"/>
      <c r="D61" s="83" t="s">
        <v>254</v>
      </c>
      <c r="E61" s="183" t="str">
        <f>IF(AND('Mix Info'!B24="",'Mix Info'!C24=""),"",IF('Mix Info'!B24&lt;&gt;"",'Mix Info'!B24,'Mix Info'!C24))</f>
        <v/>
      </c>
      <c r="F61" s="130"/>
      <c r="G61" s="130"/>
      <c r="H61" s="83" t="s">
        <v>1808</v>
      </c>
      <c r="I61" s="183" t="str">
        <f>IF(AND('Mix Info'!B25="",'Mix Info'!C25=""),"",IF('Mix Info'!B25&lt;&gt;"",'Mix Info'!B25,'Mix Info'!C25))</f>
        <v/>
      </c>
    </row>
    <row r="62" spans="1:9" ht="15.75">
      <c r="A62" s="84"/>
      <c r="B62" s="84"/>
      <c r="C62" s="104"/>
      <c r="D62" s="83" t="s">
        <v>1422</v>
      </c>
      <c r="E62" s="183" t="str">
        <f>IF(AND('Mix Info'!B26="",'Mix Info'!C26=""),"",IF('Mix Info'!B26&lt;&gt;"",'Mix Info'!B26,'Mix Info'!C26))</f>
        <v/>
      </c>
      <c r="F62" s="130"/>
      <c r="G62" s="130"/>
      <c r="H62" s="83" t="s">
        <v>1746</v>
      </c>
      <c r="I62" s="183" t="str">
        <f>IF(AND('Mix Info'!B27="",'Mix Info'!C27=""),"",IF('Mix Info'!B27&lt;&gt;"",'Mix Info'!B27,'Mix Info'!C27))</f>
        <v/>
      </c>
    </row>
    <row r="63" spans="1:9" ht="15.75">
      <c r="A63" s="84"/>
      <c r="B63" s="84"/>
      <c r="C63" s="104"/>
      <c r="D63" s="83" t="s">
        <v>1423</v>
      </c>
      <c r="E63" s="183" t="str">
        <f>IF(AND('Mix Info'!B28="",'Mix Info'!C28=""),"",IF('Mix Info'!B28&lt;&gt;"",'Mix Info'!B28,'Mix Info'!C28))</f>
        <v/>
      </c>
      <c r="F63" s="130"/>
      <c r="G63" s="130"/>
      <c r="H63" s="83" t="s">
        <v>1746</v>
      </c>
      <c r="I63" s="199" t="str">
        <f>IF(AND('Mix Info'!B29="",'Mix Info'!C29=""),"",IF('Mix Info'!B29&lt;&gt;"",'Mix Info'!B29,'Mix Info'!C29))</f>
        <v/>
      </c>
    </row>
    <row r="64" spans="1:9" ht="15.75">
      <c r="A64" s="65"/>
      <c r="B64" s="65"/>
      <c r="C64" s="65"/>
      <c r="D64" s="83" t="s">
        <v>1424</v>
      </c>
      <c r="E64" s="183" t="str">
        <f>IF(AND('Mix Info'!B30="",'Mix Info'!C30=""),"",IF('Mix Info'!B30&lt;&gt;"",'Mix Info'!B30,'Mix Info'!C30))</f>
        <v/>
      </c>
      <c r="F64" s="65"/>
      <c r="G64" s="65"/>
      <c r="H64" s="83" t="s">
        <v>1746</v>
      </c>
      <c r="I64" s="199" t="str">
        <f>IF(AND('Mix Info'!B31="",'Mix Info'!C31=""),"",IF('Mix Info'!B31&lt;&gt;"",'Mix Info'!B31,'Mix Info'!C31))</f>
        <v/>
      </c>
    </row>
    <row r="65" spans="1:9" ht="15.75">
      <c r="A65" s="65"/>
      <c r="B65" s="65"/>
      <c r="C65" s="65"/>
      <c r="D65" s="83" t="s">
        <v>255</v>
      </c>
      <c r="E65" s="183" t="str">
        <f>IF(AND('Mix Info'!B32="",'Mix Info'!C32=""),"",IF('Mix Info'!B32&lt;&gt;"",'Mix Info'!B32,'Mix Info'!C32))</f>
        <v/>
      </c>
      <c r="F65" s="65"/>
      <c r="G65" s="65"/>
      <c r="H65" s="83" t="s">
        <v>1746</v>
      </c>
      <c r="I65" s="199" t="str">
        <f>IF(AND('Mix Info'!B33="",'Mix Info'!C33=""),"",IF('Mix Info'!B33&lt;&gt;"",'Mix Info'!B33,'Mix Info'!C33))</f>
        <v/>
      </c>
    </row>
    <row r="66" spans="1:9" ht="15.75">
      <c r="A66" s="65"/>
      <c r="B66" s="65"/>
      <c r="C66" s="65"/>
      <c r="D66" s="83" t="s">
        <v>1425</v>
      </c>
      <c r="E66" s="183" t="str">
        <f>IF(AND('Mix Info'!B34="",'Mix Info'!C34=""),"",IF('Mix Info'!B34&lt;&gt;"",'Mix Info'!B34,'Mix Info'!C34))</f>
        <v/>
      </c>
      <c r="F66" s="65"/>
      <c r="G66" s="65"/>
      <c r="H66" s="83" t="s">
        <v>1746</v>
      </c>
      <c r="I66" s="199" t="str">
        <f>IF(AND('Mix Info'!B35="",'Mix Info'!C35=""),"",IF('Mix Info'!B35&lt;&gt;"",'Mix Info'!B35,'Mix Info'!C35))</f>
        <v/>
      </c>
    </row>
    <row r="67" spans="1:9" ht="15.75">
      <c r="A67" s="65"/>
      <c r="B67" s="65"/>
      <c r="C67" s="65"/>
      <c r="D67" s="83" t="s">
        <v>1426</v>
      </c>
      <c r="E67" s="183" t="str">
        <f>IF(AND('Mix Info'!B38="",'Mix Info'!C38=""),"",IF('Mix Info'!B38&lt;&gt;"",'Mix Info'!B38,'Mix Info'!C38))</f>
        <v/>
      </c>
      <c r="F67" s="65"/>
      <c r="G67" s="65"/>
      <c r="H67" s="83" t="s">
        <v>1747</v>
      </c>
      <c r="I67" s="199" t="str">
        <f>IF(AND('Mix Info'!B39="",'Mix Info'!C39=""),"",IF('Mix Info'!B39&lt;&gt;"",'Mix Info'!B39,'Mix Info'!C39))</f>
        <v/>
      </c>
    </row>
    <row r="68" spans="1:9" ht="15.75">
      <c r="A68" s="65"/>
      <c r="B68" s="65"/>
      <c r="C68" s="65"/>
      <c r="D68" s="83" t="str">
        <f>IF(AND('Mix Info'!B40="",'Mix Info'!C40=""),"CO2 Admix (%): ", IF('Mix Info'!B40&lt;&gt;"", _xlfn.CONCAT('Mix Info'!B40, "(%): "), _xlfn.CONCAT('Mix Info'!C40, "(%): ")))</f>
        <v xml:space="preserve">CO2 Admix (%): </v>
      </c>
      <c r="E68" s="541" t="str">
        <f>IF('Mix Info'!F15=0,"", 'Mix Info'!F15)</f>
        <v/>
      </c>
      <c r="F68" s="65"/>
      <c r="G68" s="65"/>
      <c r="H68" s="540" t="s">
        <v>1808</v>
      </c>
      <c r="I68" s="541" t="str">
        <f>IF('Mix Info'!$B$41="","",'Mix Info'!$B$41)</f>
        <v/>
      </c>
    </row>
    <row r="69" spans="1:9" ht="15.75">
      <c r="A69" s="65"/>
      <c r="B69" s="65"/>
      <c r="C69" s="65"/>
      <c r="F69" s="130"/>
      <c r="G69" s="65"/>
    </row>
    <row r="70" spans="1:9">
      <c r="A70" s="67" t="s">
        <v>206</v>
      </c>
      <c r="B70" s="65"/>
      <c r="C70" s="65"/>
      <c r="D70" s="65"/>
      <c r="E70" s="65"/>
      <c r="F70" s="65"/>
      <c r="G70" s="65"/>
      <c r="H70" s="65"/>
      <c r="I70" s="597"/>
    </row>
    <row r="71" spans="1:9">
      <c r="A71" s="65"/>
      <c r="B71" s="65"/>
      <c r="C71" s="65"/>
      <c r="D71" s="65"/>
      <c r="E71" s="65"/>
      <c r="F71" s="65"/>
      <c r="G71" s="65"/>
      <c r="H71" s="65"/>
      <c r="I71" s="597"/>
    </row>
    <row r="79" spans="1:9">
      <c r="D79" s="163"/>
    </row>
  </sheetData>
  <sheetProtection algorithmName="SHA-512" hashValue="OzwGks+ubcrudf3r58QlR2mCWJQ16SM6YQ0E/1LAiKmEuhx0a/qpoYvSAnrmuLYuHk+6zDkNqro/d4pCKdzr3Q==" saltValue="1QPD67N+N+qbBZskGbMgHg==" spinCount="100000" sheet="1" objects="1" scenarios="1"/>
  <mergeCells count="4">
    <mergeCell ref="B1:G1"/>
    <mergeCell ref="B2:G2"/>
    <mergeCell ref="B3:G3"/>
    <mergeCell ref="K8:N12"/>
  </mergeCells>
  <phoneticPr fontId="20" type="noConversion"/>
  <conditionalFormatting sqref="B11">
    <cfRule type="expression" dxfId="2" priority="3">
      <formula>AND($B$11&lt;&gt;"", K12&lt;&gt;"")</formula>
    </cfRule>
  </conditionalFormatting>
  <conditionalFormatting sqref="B13">
    <cfRule type="expression" dxfId="1" priority="2">
      <formula>AND($B$13&lt;&gt;"",K13&lt;&gt;"")</formula>
    </cfRule>
  </conditionalFormatting>
  <conditionalFormatting sqref="H19">
    <cfRule type="expression" dxfId="0" priority="1">
      <formula>AND($H$19&lt;&gt;"", K14&lt;&gt;"")</formula>
    </cfRule>
  </conditionalFormatting>
  <pageMargins left="0.5" right="0.5" top="0.5" bottom="0.5" header="0.5" footer="0.5"/>
  <pageSetup scale="61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E6CD5-A03D-4C35-8553-CEA7C8CBB562}">
  <sheetPr>
    <tabColor rgb="FF00B0F0"/>
  </sheetPr>
  <dimension ref="D1:AA108"/>
  <sheetViews>
    <sheetView zoomScale="80" zoomScaleNormal="80" workbookViewId="0"/>
  </sheetViews>
  <sheetFormatPr defaultRowHeight="15"/>
  <cols>
    <col min="4" max="4" width="8.77734375" style="610"/>
    <col min="5" max="5" width="26.6640625" customWidth="1"/>
    <col min="6" max="6" width="12.6640625" customWidth="1"/>
    <col min="7" max="7" width="26.6640625" customWidth="1"/>
    <col min="8" max="8" width="12.6640625" customWidth="1"/>
  </cols>
  <sheetData>
    <row r="1" spans="4:27">
      <c r="E1" s="667" t="s">
        <v>2061</v>
      </c>
      <c r="F1" s="667"/>
      <c r="G1" s="667"/>
      <c r="H1" s="667"/>
    </row>
    <row r="2" spans="4:27">
      <c r="E2" s="667"/>
      <c r="F2" s="667"/>
      <c r="G2" s="667"/>
      <c r="H2" s="667"/>
    </row>
    <row r="3" spans="4:27">
      <c r="AA3">
        <v>1</v>
      </c>
    </row>
    <row r="4" spans="4:27">
      <c r="D4" s="610" t="s">
        <v>2036</v>
      </c>
      <c r="E4" s="669" t="str">
        <f>IF('Mix Info'!B2="","",'Mix Info'!B2)</f>
        <v/>
      </c>
      <c r="F4" s="669"/>
      <c r="G4" s="669"/>
      <c r="AA4">
        <v>2</v>
      </c>
    </row>
    <row r="5" spans="4:27">
      <c r="D5" s="610" t="s">
        <v>2037</v>
      </c>
      <c r="E5" s="669" t="str">
        <f>IF('Mix Info'!B43="","",'Mix Info'!B43)</f>
        <v/>
      </c>
      <c r="F5" s="669"/>
      <c r="G5" s="669"/>
      <c r="AA5">
        <v>3</v>
      </c>
    </row>
    <row r="6" spans="4:27">
      <c r="D6" s="610" t="s">
        <v>2038</v>
      </c>
      <c r="E6" s="670"/>
      <c r="F6" s="670"/>
      <c r="G6" s="670"/>
      <c r="AA6">
        <v>4</v>
      </c>
    </row>
    <row r="7" spans="4:27">
      <c r="D7" s="610" t="s">
        <v>2039</v>
      </c>
      <c r="E7" s="636"/>
      <c r="F7" s="623" t="s">
        <v>2041</v>
      </c>
      <c r="G7" s="636"/>
      <c r="AA7">
        <v>5</v>
      </c>
    </row>
    <row r="8" spans="4:27">
      <c r="D8" s="610" t="s">
        <v>2040</v>
      </c>
      <c r="E8" s="671"/>
      <c r="F8" s="671"/>
      <c r="G8" s="671"/>
      <c r="AA8">
        <v>6</v>
      </c>
    </row>
    <row r="9" spans="4:27">
      <c r="AA9">
        <v>7</v>
      </c>
    </row>
    <row r="10" spans="4:27">
      <c r="AA10">
        <v>8</v>
      </c>
    </row>
    <row r="11" spans="4:27">
      <c r="D11" s="610" t="s">
        <v>2042</v>
      </c>
      <c r="E11" s="665"/>
      <c r="F11" s="665"/>
      <c r="G11" s="665"/>
      <c r="H11" s="665"/>
      <c r="I11" s="625"/>
      <c r="J11" s="625"/>
      <c r="AA11">
        <v>9</v>
      </c>
    </row>
    <row r="12" spans="4:27">
      <c r="D12" s="610" t="s">
        <v>2043</v>
      </c>
      <c r="E12" s="665"/>
      <c r="F12" s="665"/>
      <c r="G12" s="665"/>
      <c r="H12" s="665"/>
      <c r="I12" s="625"/>
      <c r="J12" s="625"/>
      <c r="AA12">
        <v>10</v>
      </c>
    </row>
    <row r="13" spans="4:27">
      <c r="D13" s="610" t="s">
        <v>2044</v>
      </c>
      <c r="E13" s="665"/>
      <c r="F13" s="665"/>
      <c r="G13" s="665"/>
      <c r="H13" s="665"/>
      <c r="I13" s="625"/>
      <c r="J13" s="625"/>
      <c r="AA13">
        <v>11</v>
      </c>
    </row>
    <row r="14" spans="4:27">
      <c r="D14" s="610" t="s">
        <v>2045</v>
      </c>
      <c r="E14" s="665"/>
      <c r="F14" s="665"/>
      <c r="G14" s="665"/>
      <c r="H14" s="665"/>
      <c r="I14" s="625"/>
      <c r="J14" s="625"/>
      <c r="AA14">
        <v>12</v>
      </c>
    </row>
    <row r="15" spans="4:27">
      <c r="D15" s="610" t="s">
        <v>2046</v>
      </c>
      <c r="E15" s="665"/>
      <c r="F15" s="665"/>
      <c r="G15" s="665"/>
      <c r="H15" s="665"/>
      <c r="I15" s="625"/>
      <c r="J15" s="625"/>
      <c r="AA15">
        <v>13</v>
      </c>
    </row>
    <row r="16" spans="4:27">
      <c r="D16" s="610" t="s">
        <v>2045</v>
      </c>
      <c r="E16" s="665"/>
      <c r="F16" s="665"/>
      <c r="G16" s="665"/>
      <c r="H16" s="665"/>
      <c r="I16" s="625"/>
      <c r="J16" s="625"/>
      <c r="AA16">
        <v>14</v>
      </c>
    </row>
    <row r="17" spans="4:27">
      <c r="D17" s="610" t="s">
        <v>2047</v>
      </c>
      <c r="E17" s="665"/>
      <c r="F17" s="665"/>
      <c r="G17" s="665"/>
      <c r="H17" s="665"/>
      <c r="I17" s="625"/>
      <c r="J17" s="625"/>
      <c r="AA17">
        <v>15</v>
      </c>
    </row>
    <row r="18" spans="4:27">
      <c r="D18" s="610" t="s">
        <v>2045</v>
      </c>
      <c r="E18" s="665"/>
      <c r="F18" s="665"/>
      <c r="G18" s="665"/>
      <c r="H18" s="665"/>
      <c r="I18" s="625"/>
      <c r="J18" s="625"/>
      <c r="AA18">
        <v>16</v>
      </c>
    </row>
    <row r="19" spans="4:27">
      <c r="AA19">
        <v>17</v>
      </c>
    </row>
    <row r="20" spans="4:27">
      <c r="E20" s="639" t="s">
        <v>2073</v>
      </c>
      <c r="F20" s="623"/>
      <c r="G20" s="639" t="s">
        <v>2074</v>
      </c>
      <c r="H20" s="640"/>
      <c r="AA20">
        <v>18</v>
      </c>
    </row>
    <row r="21" spans="4:27">
      <c r="D21" s="632"/>
      <c r="E21" s="639" t="s">
        <v>2069</v>
      </c>
      <c r="F21" s="641" t="str">
        <f>IF('QMC Gradation'!B14="","", 'QMC Gradation'!B14)</f>
        <v/>
      </c>
      <c r="G21" s="639" t="s">
        <v>2069</v>
      </c>
      <c r="H21" s="642"/>
    </row>
    <row r="22" spans="4:27">
      <c r="D22" s="632"/>
      <c r="E22" s="639" t="s">
        <v>2070</v>
      </c>
      <c r="F22" s="641" t="str">
        <f>IF('QMC Gradation'!B13="","", 'QMC Gradation'!B13)</f>
        <v/>
      </c>
      <c r="G22" s="639" t="s">
        <v>2070</v>
      </c>
      <c r="H22" s="642"/>
    </row>
    <row r="23" spans="4:27">
      <c r="D23" s="632"/>
      <c r="E23" s="639" t="s">
        <v>2071</v>
      </c>
      <c r="F23" s="641" t="str">
        <f>IF('QMC Gradation'!B12="","", 'QMC Gradation'!B12)</f>
        <v/>
      </c>
      <c r="G23" s="639" t="s">
        <v>2071</v>
      </c>
      <c r="H23" s="642"/>
    </row>
    <row r="24" spans="4:27">
      <c r="D24" s="632"/>
      <c r="E24" s="639" t="s">
        <v>2072</v>
      </c>
      <c r="F24" s="641">
        <f>IF('QMC Gradation'!B15="","", 'QMC Gradation'!B15)</f>
        <v>0</v>
      </c>
      <c r="G24" s="639" t="s">
        <v>2072</v>
      </c>
      <c r="H24" s="641" t="str">
        <f>IF(H21+H22+H23&lt;&gt;100, "", SUM(H21:H23))</f>
        <v/>
      </c>
    </row>
    <row r="25" spans="4:27">
      <c r="D25" s="632"/>
      <c r="H25" s="638"/>
    </row>
    <row r="26" spans="4:27">
      <c r="E26" s="668" t="s">
        <v>2056</v>
      </c>
      <c r="F26" s="668"/>
      <c r="G26" s="668" t="s">
        <v>2058</v>
      </c>
      <c r="H26" s="668"/>
      <c r="AA26">
        <v>19</v>
      </c>
    </row>
    <row r="27" spans="4:27" ht="35.450000000000003" customHeight="1">
      <c r="E27" s="624" t="s">
        <v>1537</v>
      </c>
      <c r="F27" s="624" t="s">
        <v>2057</v>
      </c>
      <c r="G27" s="624" t="s">
        <v>2062</v>
      </c>
      <c r="H27" s="624" t="s">
        <v>2057</v>
      </c>
      <c r="AA27">
        <v>20</v>
      </c>
    </row>
    <row r="28" spans="4:27">
      <c r="D28" s="610" t="s">
        <v>2048</v>
      </c>
      <c r="E28" s="646" t="str">
        <f>IF(' Form E820150'!E9="","",' Form E820150'!E9)</f>
        <v/>
      </c>
      <c r="F28" s="633" t="str">
        <f>IF(' Form E820150'!E53="","",' Form E820150'!E53)</f>
        <v/>
      </c>
      <c r="G28" s="645"/>
      <c r="H28" s="644"/>
      <c r="AA28">
        <v>21</v>
      </c>
    </row>
    <row r="29" spans="4:27">
      <c r="D29" s="610" t="s">
        <v>2049</v>
      </c>
      <c r="E29" s="646" t="str">
        <f>IF(' Form E820150'!E11="","",' Form E820150'!E11)</f>
        <v/>
      </c>
      <c r="F29" s="633">
        <f>IF(' Form E820150'!E54="","",' Form E820150'!E54)</f>
        <v>0</v>
      </c>
      <c r="G29" s="645"/>
      <c r="H29" s="644"/>
      <c r="AA29">
        <v>22</v>
      </c>
    </row>
    <row r="30" spans="4:27">
      <c r="D30" s="610" t="s">
        <v>2050</v>
      </c>
      <c r="E30" s="646" t="str">
        <f>IF(' Form E820150'!E13="","",' Form E820150'!E13)</f>
        <v/>
      </c>
      <c r="F30" s="633">
        <f>IF(' Form E820150'!E55="","",' Form E820150'!E55)</f>
        <v>0</v>
      </c>
      <c r="G30" s="645"/>
      <c r="H30" s="644"/>
      <c r="AA30">
        <v>23</v>
      </c>
    </row>
    <row r="31" spans="4:27">
      <c r="D31" s="610" t="s">
        <v>2054</v>
      </c>
      <c r="E31" s="646" t="str">
        <f>IF(' Form E820150'!D24="","",' Form E820150'!D24)</f>
        <v/>
      </c>
      <c r="F31" s="633" t="str">
        <f>IF(' Form E820150'!E56="","",' Form E820150'!E56)</f>
        <v/>
      </c>
      <c r="G31" s="645"/>
      <c r="H31" s="644"/>
    </row>
    <row r="32" spans="4:27">
      <c r="D32" s="610" t="s">
        <v>2053</v>
      </c>
      <c r="E32" s="646" t="str">
        <f>IF(' Form E820150'!D21="","",' Form E820150'!D21)</f>
        <v/>
      </c>
      <c r="F32" s="633">
        <f>IF(' Form E820150'!E57="","",' Form E820150'!E57)</f>
        <v>0</v>
      </c>
      <c r="G32" s="645"/>
      <c r="H32" s="633" t="str">
        <f>IF(E820150A!S33="","",E820150A!S33)</f>
        <v/>
      </c>
      <c r="AA32">
        <v>24</v>
      </c>
    </row>
    <row r="33" spans="4:27">
      <c r="D33" s="610" t="s">
        <v>2052</v>
      </c>
      <c r="E33" s="646" t="str">
        <f>IF(' Form E820150'!D22="","",' Form E820150'!D22)</f>
        <v/>
      </c>
      <c r="F33" s="633">
        <f>IF(' Form E820150'!E58="","",' Form E820150'!E58)</f>
        <v>0</v>
      </c>
      <c r="G33" s="645"/>
      <c r="H33" s="633" t="str">
        <f>IF(E820150A!S34="","",E820150A!S34)</f>
        <v/>
      </c>
      <c r="AA33">
        <v>25</v>
      </c>
    </row>
    <row r="34" spans="4:27">
      <c r="D34" s="610" t="s">
        <v>2051</v>
      </c>
      <c r="E34" s="646" t="str">
        <f>IF(' Form E820150'!D23="","",' Form E820150'!D23)</f>
        <v/>
      </c>
      <c r="F34" s="633">
        <f>IF(' Form E820150'!E59="","",' Form E820150'!E59)</f>
        <v>0</v>
      </c>
      <c r="G34" s="645"/>
      <c r="H34" s="633" t="str">
        <f>IF(E820150A!S35="","",E820150A!S35)</f>
        <v/>
      </c>
      <c r="AA34">
        <v>26</v>
      </c>
    </row>
    <row r="35" spans="4:27">
      <c r="D35" s="610" t="s">
        <v>254</v>
      </c>
      <c r="E35" s="646" t="str">
        <f>IF(' Form E820150'!E61="","",' Form E820150'!E61)</f>
        <v/>
      </c>
      <c r="F35" s="634" t="str">
        <f>IF(' Form E820150'!I61="","",' Form E820150'!I61)</f>
        <v/>
      </c>
      <c r="G35" s="645"/>
      <c r="H35" s="635"/>
      <c r="AA35">
        <v>27</v>
      </c>
    </row>
    <row r="36" spans="4:27">
      <c r="D36" s="610" t="s">
        <v>2055</v>
      </c>
      <c r="E36" s="646" t="str">
        <f>IF(AND(' Form E820150'!E62="",' Form E820150'!E63=""), "", IF(' Form E820150'!E63&lt;&gt;"", ' Form E820150'!E63,' Form E820150'!E62))</f>
        <v/>
      </c>
      <c r="F36" s="634" t="str">
        <f>IF(AND(' Form E820150'!I62="",' Form E820150'!I63=""), "", IF(' Form E820150'!I63&lt;&gt;"", ' Form E820150'!I63,' Form E820150'!I62))</f>
        <v/>
      </c>
      <c r="G36" s="645"/>
      <c r="H36" s="635"/>
      <c r="AA36">
        <v>28</v>
      </c>
    </row>
    <row r="37" spans="4:27">
      <c r="AA37">
        <v>29</v>
      </c>
    </row>
    <row r="38" spans="4:27">
      <c r="D38" s="610" t="s">
        <v>2059</v>
      </c>
      <c r="E38" s="666"/>
      <c r="F38" s="666"/>
      <c r="G38" s="610" t="s">
        <v>2060</v>
      </c>
      <c r="H38" s="637"/>
      <c r="AA38">
        <v>30</v>
      </c>
    </row>
    <row r="39" spans="4:27">
      <c r="AA39">
        <v>31</v>
      </c>
    </row>
    <row r="40" spans="4:27">
      <c r="AA40">
        <v>32</v>
      </c>
    </row>
    <row r="41" spans="4:27">
      <c r="AA41">
        <v>33</v>
      </c>
    </row>
    <row r="42" spans="4:27">
      <c r="AA42">
        <v>34</v>
      </c>
    </row>
    <row r="43" spans="4:27">
      <c r="AA43">
        <v>35</v>
      </c>
    </row>
    <row r="44" spans="4:27">
      <c r="AA44">
        <v>36</v>
      </c>
    </row>
    <row r="45" spans="4:27">
      <c r="AA45">
        <v>37</v>
      </c>
    </row>
    <row r="46" spans="4:27">
      <c r="AA46">
        <v>38</v>
      </c>
    </row>
    <row r="47" spans="4:27">
      <c r="AA47">
        <v>39</v>
      </c>
    </row>
    <row r="48" spans="4:27">
      <c r="AA48">
        <v>40</v>
      </c>
    </row>
    <row r="49" spans="27:27">
      <c r="AA49">
        <v>41</v>
      </c>
    </row>
    <row r="50" spans="27:27">
      <c r="AA50">
        <v>42</v>
      </c>
    </row>
    <row r="51" spans="27:27">
      <c r="AA51">
        <v>43</v>
      </c>
    </row>
    <row r="52" spans="27:27">
      <c r="AA52">
        <v>44</v>
      </c>
    </row>
    <row r="53" spans="27:27">
      <c r="AA53">
        <v>45</v>
      </c>
    </row>
    <row r="54" spans="27:27">
      <c r="AA54">
        <v>46</v>
      </c>
    </row>
    <row r="55" spans="27:27">
      <c r="AA55">
        <v>47</v>
      </c>
    </row>
    <row r="56" spans="27:27">
      <c r="AA56">
        <v>48</v>
      </c>
    </row>
    <row r="57" spans="27:27">
      <c r="AA57">
        <v>49</v>
      </c>
    </row>
    <row r="58" spans="27:27">
      <c r="AA58">
        <v>50</v>
      </c>
    </row>
    <row r="59" spans="27:27">
      <c r="AA59">
        <v>51</v>
      </c>
    </row>
    <row r="60" spans="27:27">
      <c r="AA60">
        <v>52</v>
      </c>
    </row>
    <row r="61" spans="27:27">
      <c r="AA61">
        <v>53</v>
      </c>
    </row>
    <row r="62" spans="27:27">
      <c r="AA62">
        <v>54</v>
      </c>
    </row>
    <row r="63" spans="27:27">
      <c r="AA63">
        <v>55</v>
      </c>
    </row>
    <row r="64" spans="27:27">
      <c r="AA64">
        <v>56</v>
      </c>
    </row>
    <row r="65" spans="27:27">
      <c r="AA65">
        <v>57</v>
      </c>
    </row>
    <row r="66" spans="27:27">
      <c r="AA66">
        <v>58</v>
      </c>
    </row>
    <row r="67" spans="27:27">
      <c r="AA67">
        <v>59</v>
      </c>
    </row>
    <row r="68" spans="27:27">
      <c r="AA68">
        <v>60</v>
      </c>
    </row>
    <row r="69" spans="27:27">
      <c r="AA69">
        <v>61</v>
      </c>
    </row>
    <row r="70" spans="27:27">
      <c r="AA70">
        <v>62</v>
      </c>
    </row>
    <row r="71" spans="27:27">
      <c r="AA71">
        <v>63</v>
      </c>
    </row>
    <row r="72" spans="27:27">
      <c r="AA72">
        <v>64</v>
      </c>
    </row>
    <row r="73" spans="27:27">
      <c r="AA73">
        <v>65</v>
      </c>
    </row>
    <row r="74" spans="27:27">
      <c r="AA74">
        <v>66</v>
      </c>
    </row>
    <row r="75" spans="27:27">
      <c r="AA75">
        <v>67</v>
      </c>
    </row>
    <row r="76" spans="27:27">
      <c r="AA76">
        <v>68</v>
      </c>
    </row>
    <row r="77" spans="27:27">
      <c r="AA77">
        <v>69</v>
      </c>
    </row>
    <row r="78" spans="27:27">
      <c r="AA78">
        <v>70</v>
      </c>
    </row>
    <row r="79" spans="27:27">
      <c r="AA79">
        <v>71</v>
      </c>
    </row>
    <row r="80" spans="27:27">
      <c r="AA80">
        <v>72</v>
      </c>
    </row>
    <row r="81" spans="27:27">
      <c r="AA81">
        <v>73</v>
      </c>
    </row>
    <row r="82" spans="27:27">
      <c r="AA82">
        <v>74</v>
      </c>
    </row>
    <row r="83" spans="27:27">
      <c r="AA83">
        <v>75</v>
      </c>
    </row>
    <row r="84" spans="27:27">
      <c r="AA84">
        <v>76</v>
      </c>
    </row>
    <row r="85" spans="27:27">
      <c r="AA85">
        <v>77</v>
      </c>
    </row>
    <row r="86" spans="27:27">
      <c r="AA86">
        <v>78</v>
      </c>
    </row>
    <row r="87" spans="27:27">
      <c r="AA87">
        <v>79</v>
      </c>
    </row>
    <row r="88" spans="27:27">
      <c r="AA88">
        <v>80</v>
      </c>
    </row>
    <row r="89" spans="27:27">
      <c r="AA89">
        <v>81</v>
      </c>
    </row>
    <row r="90" spans="27:27">
      <c r="AA90">
        <v>82</v>
      </c>
    </row>
    <row r="91" spans="27:27">
      <c r="AA91">
        <v>83</v>
      </c>
    </row>
    <row r="92" spans="27:27">
      <c r="AA92">
        <v>84</v>
      </c>
    </row>
    <row r="93" spans="27:27">
      <c r="AA93">
        <v>85</v>
      </c>
    </row>
    <row r="94" spans="27:27">
      <c r="AA94">
        <v>86</v>
      </c>
    </row>
    <row r="95" spans="27:27">
      <c r="AA95">
        <v>87</v>
      </c>
    </row>
    <row r="96" spans="27:27">
      <c r="AA96">
        <v>88</v>
      </c>
    </row>
    <row r="97" spans="27:27">
      <c r="AA97">
        <v>89</v>
      </c>
    </row>
    <row r="98" spans="27:27">
      <c r="AA98">
        <v>90</v>
      </c>
    </row>
    <row r="99" spans="27:27">
      <c r="AA99">
        <v>91</v>
      </c>
    </row>
    <row r="100" spans="27:27">
      <c r="AA100">
        <v>92</v>
      </c>
    </row>
    <row r="101" spans="27:27">
      <c r="AA101">
        <v>93</v>
      </c>
    </row>
    <row r="102" spans="27:27">
      <c r="AA102">
        <v>94</v>
      </c>
    </row>
    <row r="103" spans="27:27">
      <c r="AA103">
        <v>95</v>
      </c>
    </row>
    <row r="104" spans="27:27">
      <c r="AA104">
        <v>96</v>
      </c>
    </row>
    <row r="105" spans="27:27">
      <c r="AA105">
        <v>97</v>
      </c>
    </row>
    <row r="106" spans="27:27">
      <c r="AA106">
        <v>98</v>
      </c>
    </row>
    <row r="107" spans="27:27">
      <c r="AA107">
        <v>99</v>
      </c>
    </row>
    <row r="108" spans="27:27">
      <c r="AA108">
        <v>100</v>
      </c>
    </row>
  </sheetData>
  <sheetProtection algorithmName="SHA-512" hashValue="tMVKhtvAq03O70ZkDi4mwksixNVBNPrsvXNeP2/KF4AtpyEEvL53WiwFi7I1a5aHpb+vxT2/cjK9TOgsBertQA==" saltValue="duLORg2dFFyS8g/fYbk5sA==" spinCount="100000" sheet="1" objects="1" scenarios="1"/>
  <mergeCells count="16">
    <mergeCell ref="E18:H18"/>
    <mergeCell ref="E38:F38"/>
    <mergeCell ref="E1:H2"/>
    <mergeCell ref="E26:F26"/>
    <mergeCell ref="G26:H26"/>
    <mergeCell ref="E11:H11"/>
    <mergeCell ref="E12:H12"/>
    <mergeCell ref="E13:H13"/>
    <mergeCell ref="E14:H14"/>
    <mergeCell ref="E16:H16"/>
    <mergeCell ref="E15:H15"/>
    <mergeCell ref="E17:H17"/>
    <mergeCell ref="E4:G4"/>
    <mergeCell ref="E5:G5"/>
    <mergeCell ref="E6:G6"/>
    <mergeCell ref="E8:G8"/>
  </mergeCells>
  <dataValidations count="1">
    <dataValidation type="list" allowBlank="1" showInputMessage="1" showErrorMessage="1" sqref="E8:G8" xr:uid="{9540ACD9-E40C-4227-B641-091916285E2A}">
      <formula1>$AA$2:$AA$108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51D4E78D-8658-4A2B-AED4-752DA83EB1C5}">
          <x14:formula1>
            <xm:f>CEMENT!$A$3:$A$70</xm:f>
          </x14:formula1>
          <xm:sqref>G28</xm:sqref>
        </x14:dataValidation>
        <x14:dataValidation type="list" allowBlank="1" showInputMessage="1" showErrorMessage="1" xr:uid="{0B3CEB59-A187-468C-93A9-F7F8C3D0FB98}">
          <x14:formula1>
            <xm:f>FLYASH!$A$3:$A$65</xm:f>
          </x14:formula1>
          <xm:sqref>G29</xm:sqref>
        </x14:dataValidation>
        <x14:dataValidation type="list" allowBlank="1" showInputMessage="1" showErrorMessage="1" xr:uid="{7A5BAE4C-0AB2-4020-A0CB-28128A21CBBD}">
          <x14:formula1>
            <xm:f>SLAG!$A$3:$A$14</xm:f>
          </x14:formula1>
          <xm:sqref>G30</xm:sqref>
        </x14:dataValidation>
        <x14:dataValidation type="list" allowBlank="1" showInputMessage="1" showErrorMessage="1" xr:uid="{C0964D7F-6D2F-43B3-9355-051C32588AC2}">
          <x14:formula1>
            <xm:f>'Mix Info'!$M$48:$M$56</xm:f>
          </x14:formula1>
          <xm:sqref>G31</xm:sqref>
        </x14:dataValidation>
        <x14:dataValidation type="list" allowBlank="1" showInputMessage="1" showErrorMessage="1" xr:uid="{29E24F7D-3E26-4B94-9D5B-AE834CAFA05C}">
          <x14:formula1>
            <xm:f>FA!$A$3:$A$310</xm:f>
          </x14:formula1>
          <xm:sqref>G32</xm:sqref>
        </x14:dataValidation>
        <x14:dataValidation type="list" allowBlank="1" showInputMessage="1" showErrorMessage="1" xr:uid="{847F61C2-25E5-418D-8960-0E87A8C79352}">
          <x14:formula1>
            <xm:f>CA!$A$3:$A$355</xm:f>
          </x14:formula1>
          <xm:sqref>G33:G34</xm:sqref>
        </x14:dataValidation>
        <x14:dataValidation type="list" allowBlank="1" showInputMessage="1" showErrorMessage="1" xr:uid="{4BC7E17F-E60C-4EBD-972D-9C1CBBED863C}">
          <x14:formula1>
            <xm:f>'ADMIX-AIR'!$A$3:$A$50</xm:f>
          </x14:formula1>
          <xm:sqref>G35</xm:sqref>
        </x14:dataValidation>
        <x14:dataValidation type="list" allowBlank="1" showInputMessage="1" showErrorMessage="1" xr:uid="{98223C2E-E1CC-44E5-AE0E-0C12F9A51BD7}">
          <x14:formula1>
            <xm:f>'COMB-WR-MR'!$A$3:$A$90</xm:f>
          </x14:formula1>
          <xm:sqref>G36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F0"/>
  </sheetPr>
  <dimension ref="A1:K41"/>
  <sheetViews>
    <sheetView workbookViewId="0">
      <selection activeCell="B1" sqref="B1"/>
    </sheetView>
  </sheetViews>
  <sheetFormatPr defaultRowHeight="15"/>
  <cols>
    <col min="1" max="1" width="3.77734375" customWidth="1"/>
    <col min="2" max="11" width="6.77734375" customWidth="1"/>
    <col min="12" max="59" width="7.77734375" customWidth="1"/>
  </cols>
  <sheetData>
    <row r="1" spans="1:11" ht="15.75">
      <c r="E1" s="42" t="s">
        <v>104</v>
      </c>
      <c r="F1" s="43"/>
      <c r="H1" s="34"/>
    </row>
    <row r="2" spans="1:11" ht="18">
      <c r="D2" s="47"/>
      <c r="E2" s="39" t="s">
        <v>6</v>
      </c>
      <c r="F2" s="588" t="str">
        <f>IF('Mix Info'!B5="","",('Mix Info'!B5))</f>
        <v/>
      </c>
      <c r="G2" s="47"/>
      <c r="I2" s="40" t="s">
        <v>94</v>
      </c>
    </row>
    <row r="3" spans="1:11">
      <c r="D3" s="47"/>
      <c r="E3" s="39" t="s">
        <v>96</v>
      </c>
      <c r="F3" s="672">
        <f>IF('Mix Info'!B23="","",'Mix Info'!B23)</f>
        <v>0</v>
      </c>
      <c r="G3" s="673"/>
      <c r="H3" s="673"/>
      <c r="J3" t="s">
        <v>258</v>
      </c>
    </row>
    <row r="4" spans="1:11">
      <c r="D4" s="47"/>
      <c r="E4" s="39" t="s">
        <v>13</v>
      </c>
      <c r="F4" s="48" t="str">
        <f>E820150A!B34</f>
        <v/>
      </c>
      <c r="G4" s="47"/>
    </row>
    <row r="5" spans="1:11">
      <c r="D5" s="47"/>
      <c r="E5" s="39" t="s">
        <v>14</v>
      </c>
      <c r="F5" s="48">
        <f>E820150A!B35</f>
        <v>0</v>
      </c>
      <c r="G5" s="47"/>
    </row>
    <row r="6" spans="1:11">
      <c r="D6" s="47"/>
      <c r="E6" s="39" t="s">
        <v>17</v>
      </c>
      <c r="F6" s="48">
        <f>E820150A!B36</f>
        <v>0</v>
      </c>
      <c r="G6" s="47"/>
    </row>
    <row r="7" spans="1:11">
      <c r="D7" s="47"/>
      <c r="E7" s="39" t="s">
        <v>15</v>
      </c>
      <c r="F7" s="48">
        <f>E820150A!B38</f>
        <v>0</v>
      </c>
      <c r="G7" s="47"/>
    </row>
    <row r="8" spans="1:11">
      <c r="D8" s="47"/>
      <c r="E8" s="39" t="s">
        <v>19</v>
      </c>
      <c r="F8" s="48">
        <f>E820150A!B39</f>
        <v>0</v>
      </c>
      <c r="G8" s="47"/>
    </row>
    <row r="9" spans="1:11">
      <c r="D9" s="47"/>
      <c r="E9" s="39" t="s">
        <v>16</v>
      </c>
      <c r="F9" s="48">
        <f>E820150A!B40</f>
        <v>0</v>
      </c>
      <c r="G9" s="38" t="s">
        <v>97</v>
      </c>
    </row>
    <row r="10" spans="1:11">
      <c r="D10" s="47"/>
      <c r="E10" s="49" t="s">
        <v>107</v>
      </c>
      <c r="F10" s="50" t="str">
        <f>E820150A!B37</f>
        <v/>
      </c>
      <c r="G10" s="37" t="str">
        <f>IF(E820150A!C37="","",E820150A!C37)</f>
        <v/>
      </c>
    </row>
    <row r="11" spans="1:11">
      <c r="D11" s="47"/>
      <c r="E11" s="49" t="s">
        <v>108</v>
      </c>
      <c r="F11" s="50" t="e">
        <f>IF(F3="","",ROUNDDOWN((F4+F5+F6)*G11,0))</f>
        <v>#VALUE!</v>
      </c>
      <c r="G11" s="37" t="str">
        <f>IF(F3="","",E820150A!D37)</f>
        <v/>
      </c>
      <c r="J11" s="54"/>
    </row>
    <row r="13" spans="1:11">
      <c r="A13" s="45"/>
      <c r="B13" s="45" t="s">
        <v>105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s="44" customFormat="1">
      <c r="A14" s="46"/>
      <c r="B14" s="55">
        <v>0</v>
      </c>
      <c r="C14" s="55">
        <v>0.1</v>
      </c>
      <c r="D14" s="55">
        <v>0.2</v>
      </c>
      <c r="E14" s="55">
        <v>0.3</v>
      </c>
      <c r="F14" s="55">
        <v>0.4</v>
      </c>
      <c r="G14" s="55">
        <v>0.5</v>
      </c>
      <c r="H14" s="55">
        <v>0.6</v>
      </c>
      <c r="I14" s="55">
        <v>0.7</v>
      </c>
      <c r="J14" s="55">
        <v>0.8</v>
      </c>
      <c r="K14" s="55">
        <v>0.9</v>
      </c>
    </row>
    <row r="15" spans="1:11">
      <c r="A15" s="56">
        <v>0</v>
      </c>
      <c r="B15" s="79">
        <f>+F7</f>
        <v>0</v>
      </c>
      <c r="C15" s="79">
        <f t="shared" ref="C15:C21" si="0">IF($B$15="","",$B$15/(1-($A15+C$14)/100))</f>
        <v>0</v>
      </c>
      <c r="D15" s="79">
        <f t="shared" ref="D15:K21" si="1">IF($B$15="","",$B$15/(1-($A15+D$14)/100))</f>
        <v>0</v>
      </c>
      <c r="E15" s="79">
        <f t="shared" si="1"/>
        <v>0</v>
      </c>
      <c r="F15" s="79">
        <f t="shared" si="1"/>
        <v>0</v>
      </c>
      <c r="G15" s="79">
        <f t="shared" si="1"/>
        <v>0</v>
      </c>
      <c r="H15" s="79">
        <f t="shared" si="1"/>
        <v>0</v>
      </c>
      <c r="I15" s="79">
        <f t="shared" si="1"/>
        <v>0</v>
      </c>
      <c r="J15" s="79">
        <f t="shared" si="1"/>
        <v>0</v>
      </c>
      <c r="K15" s="79">
        <f t="shared" si="1"/>
        <v>0</v>
      </c>
    </row>
    <row r="16" spans="1:11">
      <c r="A16" s="55">
        <v>1</v>
      </c>
      <c r="B16" s="58">
        <f t="shared" ref="B16:B21" si="2">IF($B$15="","",$B$15/(1-($A16+B$14)/100))</f>
        <v>0</v>
      </c>
      <c r="C16" s="58">
        <f t="shared" si="0"/>
        <v>0</v>
      </c>
      <c r="D16" s="58">
        <f t="shared" si="1"/>
        <v>0</v>
      </c>
      <c r="E16" s="58">
        <f t="shared" si="1"/>
        <v>0</v>
      </c>
      <c r="F16" s="58">
        <f t="shared" si="1"/>
        <v>0</v>
      </c>
      <c r="G16" s="58">
        <f t="shared" si="1"/>
        <v>0</v>
      </c>
      <c r="H16" s="58">
        <f t="shared" si="1"/>
        <v>0</v>
      </c>
      <c r="I16" s="58">
        <f t="shared" si="1"/>
        <v>0</v>
      </c>
      <c r="J16" s="58">
        <f t="shared" si="1"/>
        <v>0</v>
      </c>
      <c r="K16" s="77">
        <f t="shared" si="1"/>
        <v>0</v>
      </c>
    </row>
    <row r="17" spans="1:11">
      <c r="A17" s="55">
        <v>2</v>
      </c>
      <c r="B17" s="58">
        <f t="shared" si="2"/>
        <v>0</v>
      </c>
      <c r="C17" s="58">
        <f t="shared" si="0"/>
        <v>0</v>
      </c>
      <c r="D17" s="58">
        <f t="shared" si="1"/>
        <v>0</v>
      </c>
      <c r="E17" s="58">
        <f t="shared" si="1"/>
        <v>0</v>
      </c>
      <c r="F17" s="58">
        <f t="shared" si="1"/>
        <v>0</v>
      </c>
      <c r="G17" s="58">
        <f t="shared" si="1"/>
        <v>0</v>
      </c>
      <c r="H17" s="58">
        <f t="shared" si="1"/>
        <v>0</v>
      </c>
      <c r="I17" s="58">
        <f t="shared" si="1"/>
        <v>0</v>
      </c>
      <c r="J17" s="58">
        <f t="shared" si="1"/>
        <v>0</v>
      </c>
      <c r="K17" s="77">
        <f t="shared" si="1"/>
        <v>0</v>
      </c>
    </row>
    <row r="18" spans="1:11">
      <c r="A18" s="55">
        <v>3</v>
      </c>
      <c r="B18" s="58">
        <f t="shared" si="2"/>
        <v>0</v>
      </c>
      <c r="C18" s="58">
        <f t="shared" si="0"/>
        <v>0</v>
      </c>
      <c r="D18" s="58">
        <f t="shared" si="1"/>
        <v>0</v>
      </c>
      <c r="E18" s="58">
        <f t="shared" si="1"/>
        <v>0</v>
      </c>
      <c r="F18" s="58">
        <f t="shared" si="1"/>
        <v>0</v>
      </c>
      <c r="G18" s="58">
        <f t="shared" si="1"/>
        <v>0</v>
      </c>
      <c r="H18" s="58">
        <f t="shared" si="1"/>
        <v>0</v>
      </c>
      <c r="I18" s="58">
        <f t="shared" si="1"/>
        <v>0</v>
      </c>
      <c r="J18" s="58">
        <f t="shared" si="1"/>
        <v>0</v>
      </c>
      <c r="K18" s="77">
        <f t="shared" si="1"/>
        <v>0</v>
      </c>
    </row>
    <row r="19" spans="1:11">
      <c r="A19" s="55">
        <v>4</v>
      </c>
      <c r="B19" s="58">
        <f t="shared" si="2"/>
        <v>0</v>
      </c>
      <c r="C19" s="58">
        <f t="shared" si="0"/>
        <v>0</v>
      </c>
      <c r="D19" s="58">
        <f t="shared" si="1"/>
        <v>0</v>
      </c>
      <c r="E19" s="58">
        <f t="shared" si="1"/>
        <v>0</v>
      </c>
      <c r="F19" s="58">
        <f t="shared" si="1"/>
        <v>0</v>
      </c>
      <c r="G19" s="58">
        <f t="shared" si="1"/>
        <v>0</v>
      </c>
      <c r="H19" s="58">
        <f t="shared" si="1"/>
        <v>0</v>
      </c>
      <c r="I19" s="58">
        <f t="shared" si="1"/>
        <v>0</v>
      </c>
      <c r="J19" s="58">
        <f t="shared" si="1"/>
        <v>0</v>
      </c>
      <c r="K19" s="77">
        <f t="shared" si="1"/>
        <v>0</v>
      </c>
    </row>
    <row r="20" spans="1:11">
      <c r="A20" s="55">
        <v>5</v>
      </c>
      <c r="B20" s="58">
        <f t="shared" si="2"/>
        <v>0</v>
      </c>
      <c r="C20" s="58">
        <f t="shared" si="0"/>
        <v>0</v>
      </c>
      <c r="D20" s="58">
        <f t="shared" si="1"/>
        <v>0</v>
      </c>
      <c r="E20" s="58">
        <f t="shared" si="1"/>
        <v>0</v>
      </c>
      <c r="F20" s="58">
        <f t="shared" si="1"/>
        <v>0</v>
      </c>
      <c r="G20" s="58">
        <f t="shared" si="1"/>
        <v>0</v>
      </c>
      <c r="H20" s="58">
        <f t="shared" si="1"/>
        <v>0</v>
      </c>
      <c r="I20" s="58">
        <f t="shared" si="1"/>
        <v>0</v>
      </c>
      <c r="J20" s="58">
        <f t="shared" si="1"/>
        <v>0</v>
      </c>
      <c r="K20" s="77">
        <f t="shared" si="1"/>
        <v>0</v>
      </c>
    </row>
    <row r="21" spans="1:11">
      <c r="A21" s="55">
        <v>6</v>
      </c>
      <c r="B21" s="59">
        <f t="shared" si="2"/>
        <v>0</v>
      </c>
      <c r="C21" s="59">
        <f t="shared" si="0"/>
        <v>0</v>
      </c>
      <c r="D21" s="59">
        <f t="shared" si="1"/>
        <v>0</v>
      </c>
      <c r="E21" s="59">
        <f t="shared" si="1"/>
        <v>0</v>
      </c>
      <c r="F21" s="59">
        <f t="shared" si="1"/>
        <v>0</v>
      </c>
      <c r="G21" s="59">
        <f t="shared" si="1"/>
        <v>0</v>
      </c>
      <c r="H21" s="59">
        <f t="shared" si="1"/>
        <v>0</v>
      </c>
      <c r="I21" s="59">
        <f t="shared" si="1"/>
        <v>0</v>
      </c>
      <c r="J21" s="59">
        <f t="shared" si="1"/>
        <v>0</v>
      </c>
      <c r="K21" s="78">
        <f t="shared" si="1"/>
        <v>0</v>
      </c>
    </row>
    <row r="22" spans="1:11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1:11">
      <c r="A23" s="45"/>
      <c r="B23" s="45" t="s">
        <v>106</v>
      </c>
      <c r="C23" s="45"/>
      <c r="D23" s="45"/>
      <c r="E23" s="45"/>
      <c r="F23" s="45"/>
      <c r="G23" s="45"/>
      <c r="H23" s="45"/>
      <c r="I23" s="45"/>
      <c r="J23" s="45"/>
      <c r="K23" s="45"/>
    </row>
    <row r="24" spans="1:11">
      <c r="A24" s="46"/>
      <c r="B24" s="55">
        <v>0</v>
      </c>
      <c r="C24" s="55">
        <v>0.1</v>
      </c>
      <c r="D24" s="55">
        <v>0.2</v>
      </c>
      <c r="E24" s="55">
        <v>0.3</v>
      </c>
      <c r="F24" s="55">
        <v>0.4</v>
      </c>
      <c r="G24" s="55">
        <v>0.5</v>
      </c>
      <c r="H24" s="55">
        <v>0.6</v>
      </c>
      <c r="I24" s="55">
        <v>0.7</v>
      </c>
      <c r="J24" s="55">
        <v>0.8</v>
      </c>
      <c r="K24" s="55">
        <v>0.9</v>
      </c>
    </row>
    <row r="25" spans="1:11">
      <c r="A25" s="56">
        <v>0</v>
      </c>
      <c r="B25" s="57">
        <f>F9</f>
        <v>0</v>
      </c>
      <c r="C25" s="79">
        <f t="shared" ref="C25:C31" si="3">IF($B$25="","",$B$25/(1-($A25+C$14)/100))</f>
        <v>0</v>
      </c>
      <c r="D25" s="79">
        <f t="shared" ref="D25:K31" si="4">IF($B$25="","",$B$25/(1-($A25+D$14)/100))</f>
        <v>0</v>
      </c>
      <c r="E25" s="79">
        <f t="shared" si="4"/>
        <v>0</v>
      </c>
      <c r="F25" s="79">
        <f t="shared" si="4"/>
        <v>0</v>
      </c>
      <c r="G25" s="79">
        <f t="shared" si="4"/>
        <v>0</v>
      </c>
      <c r="H25" s="79">
        <f t="shared" si="4"/>
        <v>0</v>
      </c>
      <c r="I25" s="79">
        <f t="shared" si="4"/>
        <v>0</v>
      </c>
      <c r="J25" s="79">
        <f t="shared" si="4"/>
        <v>0</v>
      </c>
      <c r="K25" s="79">
        <f t="shared" si="4"/>
        <v>0</v>
      </c>
    </row>
    <row r="26" spans="1:11">
      <c r="A26" s="55">
        <v>1</v>
      </c>
      <c r="B26" s="58">
        <f t="shared" ref="B26:B31" si="5">IF($B$25="","",$B$25/(1-($A26+B$14)/100))</f>
        <v>0</v>
      </c>
      <c r="C26" s="58">
        <f t="shared" si="3"/>
        <v>0</v>
      </c>
      <c r="D26" s="58">
        <f t="shared" si="4"/>
        <v>0</v>
      </c>
      <c r="E26" s="58">
        <f t="shared" si="4"/>
        <v>0</v>
      </c>
      <c r="F26" s="58">
        <f t="shared" si="4"/>
        <v>0</v>
      </c>
      <c r="G26" s="58">
        <f t="shared" si="4"/>
        <v>0</v>
      </c>
      <c r="H26" s="58">
        <f t="shared" si="4"/>
        <v>0</v>
      </c>
      <c r="I26" s="58">
        <f t="shared" si="4"/>
        <v>0</v>
      </c>
      <c r="J26" s="58">
        <f t="shared" si="4"/>
        <v>0</v>
      </c>
      <c r="K26" s="77">
        <f t="shared" si="4"/>
        <v>0</v>
      </c>
    </row>
    <row r="27" spans="1:11">
      <c r="A27" s="55">
        <v>2</v>
      </c>
      <c r="B27" s="58">
        <f t="shared" si="5"/>
        <v>0</v>
      </c>
      <c r="C27" s="58">
        <f t="shared" si="3"/>
        <v>0</v>
      </c>
      <c r="D27" s="58">
        <f t="shared" si="4"/>
        <v>0</v>
      </c>
      <c r="E27" s="58">
        <f t="shared" si="4"/>
        <v>0</v>
      </c>
      <c r="F27" s="58">
        <f t="shared" si="4"/>
        <v>0</v>
      </c>
      <c r="G27" s="58">
        <f t="shared" si="4"/>
        <v>0</v>
      </c>
      <c r="H27" s="58">
        <f t="shared" si="4"/>
        <v>0</v>
      </c>
      <c r="I27" s="58">
        <f t="shared" si="4"/>
        <v>0</v>
      </c>
      <c r="J27" s="58">
        <f t="shared" si="4"/>
        <v>0</v>
      </c>
      <c r="K27" s="77">
        <f t="shared" si="4"/>
        <v>0</v>
      </c>
    </row>
    <row r="28" spans="1:11">
      <c r="A28" s="55">
        <v>3</v>
      </c>
      <c r="B28" s="58">
        <f t="shared" si="5"/>
        <v>0</v>
      </c>
      <c r="C28" s="58">
        <f t="shared" si="3"/>
        <v>0</v>
      </c>
      <c r="D28" s="58">
        <f t="shared" si="4"/>
        <v>0</v>
      </c>
      <c r="E28" s="58">
        <f t="shared" si="4"/>
        <v>0</v>
      </c>
      <c r="F28" s="58">
        <f t="shared" si="4"/>
        <v>0</v>
      </c>
      <c r="G28" s="58">
        <f t="shared" si="4"/>
        <v>0</v>
      </c>
      <c r="H28" s="58">
        <f t="shared" si="4"/>
        <v>0</v>
      </c>
      <c r="I28" s="58">
        <f t="shared" si="4"/>
        <v>0</v>
      </c>
      <c r="J28" s="58">
        <f t="shared" si="4"/>
        <v>0</v>
      </c>
      <c r="K28" s="77">
        <f t="shared" si="4"/>
        <v>0</v>
      </c>
    </row>
    <row r="29" spans="1:11">
      <c r="A29" s="55">
        <v>4</v>
      </c>
      <c r="B29" s="58">
        <f t="shared" si="5"/>
        <v>0</v>
      </c>
      <c r="C29" s="58">
        <f t="shared" si="3"/>
        <v>0</v>
      </c>
      <c r="D29" s="58">
        <f t="shared" si="4"/>
        <v>0</v>
      </c>
      <c r="E29" s="58">
        <f t="shared" si="4"/>
        <v>0</v>
      </c>
      <c r="F29" s="58">
        <f t="shared" si="4"/>
        <v>0</v>
      </c>
      <c r="G29" s="58">
        <f t="shared" si="4"/>
        <v>0</v>
      </c>
      <c r="H29" s="58">
        <f t="shared" si="4"/>
        <v>0</v>
      </c>
      <c r="I29" s="58">
        <f t="shared" si="4"/>
        <v>0</v>
      </c>
      <c r="J29" s="58">
        <f t="shared" si="4"/>
        <v>0</v>
      </c>
      <c r="K29" s="77">
        <f t="shared" si="4"/>
        <v>0</v>
      </c>
    </row>
    <row r="30" spans="1:11">
      <c r="A30" s="55">
        <v>5</v>
      </c>
      <c r="B30" s="58">
        <f t="shared" si="5"/>
        <v>0</v>
      </c>
      <c r="C30" s="58">
        <f t="shared" si="3"/>
        <v>0</v>
      </c>
      <c r="D30" s="58">
        <f t="shared" si="4"/>
        <v>0</v>
      </c>
      <c r="E30" s="58">
        <f t="shared" si="4"/>
        <v>0</v>
      </c>
      <c r="F30" s="58">
        <f t="shared" si="4"/>
        <v>0</v>
      </c>
      <c r="G30" s="58">
        <f t="shared" si="4"/>
        <v>0</v>
      </c>
      <c r="H30" s="58">
        <f t="shared" si="4"/>
        <v>0</v>
      </c>
      <c r="I30" s="58">
        <f t="shared" si="4"/>
        <v>0</v>
      </c>
      <c r="J30" s="58">
        <f t="shared" si="4"/>
        <v>0</v>
      </c>
      <c r="K30" s="77">
        <f t="shared" si="4"/>
        <v>0</v>
      </c>
    </row>
    <row r="31" spans="1:11">
      <c r="A31" s="55">
        <v>6</v>
      </c>
      <c r="B31" s="59">
        <f t="shared" si="5"/>
        <v>0</v>
      </c>
      <c r="C31" s="59">
        <f t="shared" si="3"/>
        <v>0</v>
      </c>
      <c r="D31" s="59">
        <f t="shared" si="4"/>
        <v>0</v>
      </c>
      <c r="E31" s="59">
        <f t="shared" si="4"/>
        <v>0</v>
      </c>
      <c r="F31" s="59">
        <f t="shared" si="4"/>
        <v>0</v>
      </c>
      <c r="G31" s="59">
        <f t="shared" si="4"/>
        <v>0</v>
      </c>
      <c r="H31" s="59">
        <f t="shared" si="4"/>
        <v>0</v>
      </c>
      <c r="I31" s="59">
        <f t="shared" si="4"/>
        <v>0</v>
      </c>
      <c r="J31" s="59">
        <f t="shared" si="4"/>
        <v>0</v>
      </c>
      <c r="K31" s="78">
        <f t="shared" si="4"/>
        <v>0</v>
      </c>
    </row>
    <row r="32" spans="1:11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</row>
    <row r="33" spans="1:11">
      <c r="A33" s="45"/>
      <c r="B33" s="45" t="s">
        <v>111</v>
      </c>
      <c r="C33" s="45"/>
      <c r="D33" s="45"/>
      <c r="E33" s="45"/>
      <c r="F33" s="45"/>
      <c r="G33" s="45"/>
      <c r="H33" s="45"/>
      <c r="I33" s="45"/>
      <c r="J33" s="45"/>
      <c r="K33" s="45"/>
    </row>
    <row r="34" spans="1:11">
      <c r="A34" s="46"/>
      <c r="B34" s="55">
        <v>0</v>
      </c>
      <c r="C34" s="55">
        <v>0.1</v>
      </c>
      <c r="D34" s="55">
        <v>0.2</v>
      </c>
      <c r="E34" s="55">
        <v>0.3</v>
      </c>
      <c r="F34" s="55">
        <v>0.4</v>
      </c>
      <c r="G34" s="55">
        <v>0.5</v>
      </c>
      <c r="H34" s="55">
        <v>0.6</v>
      </c>
      <c r="I34" s="55">
        <v>0.7</v>
      </c>
      <c r="J34" s="55">
        <v>0.8</v>
      </c>
      <c r="K34" s="55">
        <v>0.9</v>
      </c>
    </row>
    <row r="35" spans="1:11">
      <c r="A35" s="56">
        <v>0</v>
      </c>
      <c r="B35" s="57">
        <f>F8</f>
        <v>0</v>
      </c>
      <c r="C35" s="79">
        <f t="shared" ref="C35:C41" si="6">IF($B$35="","",$B$35/(1-($A35+C$14)/100))</f>
        <v>0</v>
      </c>
      <c r="D35" s="79">
        <f t="shared" ref="D35:K41" si="7">IF($B$35="","",$B$35/(1-($A35+D$14)/100))</f>
        <v>0</v>
      </c>
      <c r="E35" s="79">
        <f t="shared" si="7"/>
        <v>0</v>
      </c>
      <c r="F35" s="79">
        <f t="shared" si="7"/>
        <v>0</v>
      </c>
      <c r="G35" s="79">
        <f t="shared" si="7"/>
        <v>0</v>
      </c>
      <c r="H35" s="79">
        <f t="shared" si="7"/>
        <v>0</v>
      </c>
      <c r="I35" s="79">
        <f t="shared" si="7"/>
        <v>0</v>
      </c>
      <c r="J35" s="79">
        <f t="shared" si="7"/>
        <v>0</v>
      </c>
      <c r="K35" s="79">
        <f t="shared" si="7"/>
        <v>0</v>
      </c>
    </row>
    <row r="36" spans="1:11">
      <c r="A36" s="55">
        <v>1</v>
      </c>
      <c r="B36" s="58">
        <f t="shared" ref="B36:B41" si="8">IF($B$35="","",$B$35/(1-($A36+B$14)/100))</f>
        <v>0</v>
      </c>
      <c r="C36" s="58">
        <f t="shared" si="6"/>
        <v>0</v>
      </c>
      <c r="D36" s="58">
        <f t="shared" si="7"/>
        <v>0</v>
      </c>
      <c r="E36" s="58">
        <f t="shared" si="7"/>
        <v>0</v>
      </c>
      <c r="F36" s="58">
        <f t="shared" si="7"/>
        <v>0</v>
      </c>
      <c r="G36" s="58">
        <f t="shared" si="7"/>
        <v>0</v>
      </c>
      <c r="H36" s="58">
        <f t="shared" si="7"/>
        <v>0</v>
      </c>
      <c r="I36" s="58">
        <f t="shared" si="7"/>
        <v>0</v>
      </c>
      <c r="J36" s="58">
        <f t="shared" si="7"/>
        <v>0</v>
      </c>
      <c r="K36" s="77">
        <f t="shared" si="7"/>
        <v>0</v>
      </c>
    </row>
    <row r="37" spans="1:11">
      <c r="A37" s="55">
        <v>2</v>
      </c>
      <c r="B37" s="58">
        <f t="shared" si="8"/>
        <v>0</v>
      </c>
      <c r="C37" s="58">
        <f t="shared" si="6"/>
        <v>0</v>
      </c>
      <c r="D37" s="58">
        <f t="shared" si="7"/>
        <v>0</v>
      </c>
      <c r="E37" s="58">
        <f t="shared" si="7"/>
        <v>0</v>
      </c>
      <c r="F37" s="58">
        <f t="shared" si="7"/>
        <v>0</v>
      </c>
      <c r="G37" s="58">
        <f t="shared" si="7"/>
        <v>0</v>
      </c>
      <c r="H37" s="58">
        <f t="shared" si="7"/>
        <v>0</v>
      </c>
      <c r="I37" s="58">
        <f t="shared" si="7"/>
        <v>0</v>
      </c>
      <c r="J37" s="58">
        <f t="shared" si="7"/>
        <v>0</v>
      </c>
      <c r="K37" s="77">
        <f t="shared" si="7"/>
        <v>0</v>
      </c>
    </row>
    <row r="38" spans="1:11">
      <c r="A38" s="55">
        <v>3</v>
      </c>
      <c r="B38" s="58">
        <f t="shared" si="8"/>
        <v>0</v>
      </c>
      <c r="C38" s="58">
        <f t="shared" si="6"/>
        <v>0</v>
      </c>
      <c r="D38" s="58">
        <f t="shared" si="7"/>
        <v>0</v>
      </c>
      <c r="E38" s="58">
        <f t="shared" si="7"/>
        <v>0</v>
      </c>
      <c r="F38" s="58">
        <f t="shared" si="7"/>
        <v>0</v>
      </c>
      <c r="G38" s="58">
        <f t="shared" si="7"/>
        <v>0</v>
      </c>
      <c r="H38" s="58">
        <f t="shared" si="7"/>
        <v>0</v>
      </c>
      <c r="I38" s="58">
        <f t="shared" si="7"/>
        <v>0</v>
      </c>
      <c r="J38" s="58">
        <f t="shared" si="7"/>
        <v>0</v>
      </c>
      <c r="K38" s="77">
        <f t="shared" si="7"/>
        <v>0</v>
      </c>
    </row>
    <row r="39" spans="1:11">
      <c r="A39" s="55">
        <v>4</v>
      </c>
      <c r="B39" s="58">
        <f t="shared" si="8"/>
        <v>0</v>
      </c>
      <c r="C39" s="58">
        <f t="shared" si="6"/>
        <v>0</v>
      </c>
      <c r="D39" s="58">
        <f t="shared" si="7"/>
        <v>0</v>
      </c>
      <c r="E39" s="58">
        <f t="shared" si="7"/>
        <v>0</v>
      </c>
      <c r="F39" s="58">
        <f t="shared" si="7"/>
        <v>0</v>
      </c>
      <c r="G39" s="58">
        <f t="shared" si="7"/>
        <v>0</v>
      </c>
      <c r="H39" s="58">
        <f t="shared" si="7"/>
        <v>0</v>
      </c>
      <c r="I39" s="58">
        <f t="shared" si="7"/>
        <v>0</v>
      </c>
      <c r="J39" s="58">
        <f t="shared" si="7"/>
        <v>0</v>
      </c>
      <c r="K39" s="77">
        <f t="shared" si="7"/>
        <v>0</v>
      </c>
    </row>
    <row r="40" spans="1:11">
      <c r="A40" s="55">
        <v>5</v>
      </c>
      <c r="B40" s="58">
        <f t="shared" si="8"/>
        <v>0</v>
      </c>
      <c r="C40" s="58">
        <f t="shared" si="6"/>
        <v>0</v>
      </c>
      <c r="D40" s="58">
        <f t="shared" si="7"/>
        <v>0</v>
      </c>
      <c r="E40" s="58">
        <f t="shared" si="7"/>
        <v>0</v>
      </c>
      <c r="F40" s="58">
        <f t="shared" si="7"/>
        <v>0</v>
      </c>
      <c r="G40" s="58">
        <f t="shared" si="7"/>
        <v>0</v>
      </c>
      <c r="H40" s="58">
        <f t="shared" si="7"/>
        <v>0</v>
      </c>
      <c r="I40" s="58">
        <f t="shared" si="7"/>
        <v>0</v>
      </c>
      <c r="J40" s="58">
        <f t="shared" si="7"/>
        <v>0</v>
      </c>
      <c r="K40" s="77">
        <f t="shared" si="7"/>
        <v>0</v>
      </c>
    </row>
    <row r="41" spans="1:11">
      <c r="A41" s="55">
        <v>6</v>
      </c>
      <c r="B41" s="59">
        <f t="shared" si="8"/>
        <v>0</v>
      </c>
      <c r="C41" s="59">
        <f t="shared" si="6"/>
        <v>0</v>
      </c>
      <c r="D41" s="59">
        <f t="shared" si="7"/>
        <v>0</v>
      </c>
      <c r="E41" s="59">
        <f t="shared" si="7"/>
        <v>0</v>
      </c>
      <c r="F41" s="59">
        <f t="shared" si="7"/>
        <v>0</v>
      </c>
      <c r="G41" s="59">
        <f t="shared" si="7"/>
        <v>0</v>
      </c>
      <c r="H41" s="59">
        <f t="shared" si="7"/>
        <v>0</v>
      </c>
      <c r="I41" s="59">
        <f t="shared" si="7"/>
        <v>0</v>
      </c>
      <c r="J41" s="59">
        <f t="shared" si="7"/>
        <v>0</v>
      </c>
      <c r="K41" s="78">
        <f t="shared" si="7"/>
        <v>0</v>
      </c>
    </row>
  </sheetData>
  <sheetProtection algorithmName="SHA-512" hashValue="PymT50mi+r6c+lKsjmM0VDmv4mfjJZFDPUJEwiWv8m7TafO+WzLsuNfxhv1ukCafznwTpqWVT78ygT7ssGddUQ==" saltValue="eHc+6fEBYYSmXr1IgD+H3g==" spinCount="100000" sheet="1" objects="1" scenarios="1"/>
  <mergeCells count="1">
    <mergeCell ref="F3:H3"/>
  </mergeCells>
  <phoneticPr fontId="2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41"/>
  <sheetViews>
    <sheetView workbookViewId="0">
      <selection activeCell="F4" sqref="F4"/>
    </sheetView>
  </sheetViews>
  <sheetFormatPr defaultRowHeight="15"/>
  <cols>
    <col min="1" max="1" width="4.21875" customWidth="1"/>
    <col min="2" max="11" width="6.77734375" customWidth="1"/>
    <col min="12" max="15" width="7.77734375" customWidth="1"/>
  </cols>
  <sheetData>
    <row r="1" spans="1:11" ht="15.75">
      <c r="E1" s="42" t="s">
        <v>112</v>
      </c>
    </row>
    <row r="2" spans="1:11" ht="18">
      <c r="C2" s="47"/>
      <c r="D2" s="47"/>
      <c r="E2" s="39" t="s">
        <v>6</v>
      </c>
      <c r="F2" s="51" t="str">
        <f>IF('Mix Info'!B5="","",('Mix Info'!B5))</f>
        <v/>
      </c>
      <c r="G2" s="47"/>
      <c r="I2" s="41" t="s">
        <v>95</v>
      </c>
    </row>
    <row r="3" spans="1:11">
      <c r="C3" s="47"/>
      <c r="D3" s="47"/>
      <c r="E3" s="39" t="s">
        <v>96</v>
      </c>
      <c r="F3" s="674">
        <f>IF('Mix Info'!B23="","",'Mix Info'!B23)</f>
        <v>0</v>
      </c>
      <c r="G3" s="675"/>
    </row>
    <row r="4" spans="1:11">
      <c r="C4" s="47"/>
      <c r="D4" s="47"/>
      <c r="E4" s="39" t="s">
        <v>98</v>
      </c>
      <c r="F4" s="52" t="str">
        <f>IF('Batch Wts. English'!F4="","",'Batch Wts. English'!F4*0.5935)</f>
        <v/>
      </c>
      <c r="G4" s="47"/>
    </row>
    <row r="5" spans="1:11">
      <c r="C5" s="47"/>
      <c r="D5" s="47"/>
      <c r="E5" s="39" t="s">
        <v>99</v>
      </c>
      <c r="F5" s="52">
        <f>IF('Batch Wts. English'!F5="","",'Batch Wts. English'!F5*0.5935)</f>
        <v>0</v>
      </c>
      <c r="G5" s="47"/>
    </row>
    <row r="6" spans="1:11">
      <c r="C6" s="47"/>
      <c r="D6" s="47"/>
      <c r="E6" s="39" t="s">
        <v>100</v>
      </c>
      <c r="F6" s="52">
        <f>IF('Batch Wts. English'!F6="","",'Batch Wts. English'!F6*0.5935)</f>
        <v>0</v>
      </c>
      <c r="G6" s="47"/>
    </row>
    <row r="7" spans="1:11">
      <c r="C7" s="47"/>
      <c r="D7" s="47"/>
      <c r="E7" s="39" t="s">
        <v>101</v>
      </c>
      <c r="F7" s="52">
        <f>IF('Batch Wts. English'!F7="","",'Batch Wts. English'!F7*0.5935)</f>
        <v>0</v>
      </c>
      <c r="G7" s="47"/>
    </row>
    <row r="8" spans="1:11">
      <c r="C8" s="47"/>
      <c r="D8" s="47"/>
      <c r="E8" s="39" t="s">
        <v>102</v>
      </c>
      <c r="F8" s="52">
        <f>IF('Batch Wts. English'!F8="","",'Batch Wts. English'!F8*0.5935)</f>
        <v>0</v>
      </c>
      <c r="G8" s="47"/>
    </row>
    <row r="9" spans="1:11">
      <c r="C9" s="47"/>
      <c r="D9" s="47"/>
      <c r="E9" s="39" t="s">
        <v>103</v>
      </c>
      <c r="F9" s="52">
        <f>IF('Batch Wts. English'!F9="","",'Batch Wts. English'!F9*0.5935)</f>
        <v>0</v>
      </c>
      <c r="G9" s="38" t="s">
        <v>97</v>
      </c>
    </row>
    <row r="10" spans="1:11">
      <c r="C10" s="47"/>
      <c r="D10" s="47"/>
      <c r="E10" s="49" t="s">
        <v>109</v>
      </c>
      <c r="F10" s="53" t="str">
        <f>IF(E820150A!B37="","",E820150A!B37*0.5935)</f>
        <v/>
      </c>
      <c r="G10" s="37" t="str">
        <f>IF(E820150A!C37="","",E820150A!C37)</f>
        <v/>
      </c>
    </row>
    <row r="11" spans="1:11">
      <c r="C11" s="47"/>
      <c r="D11" s="47"/>
      <c r="E11" s="49" t="s">
        <v>110</v>
      </c>
      <c r="F11" s="53" t="e">
        <f>IF(F3="","",(F4+F5+F6)*G11)</f>
        <v>#VALUE!</v>
      </c>
      <c r="G11" s="37" t="str">
        <f>IF(F3="","",E820150A!D37)</f>
        <v/>
      </c>
    </row>
    <row r="13" spans="1:11">
      <c r="A13" s="45"/>
      <c r="B13" s="45" t="s">
        <v>105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>
      <c r="A14" s="46"/>
      <c r="B14" s="55">
        <v>0</v>
      </c>
      <c r="C14" s="55">
        <v>0.1</v>
      </c>
      <c r="D14" s="55">
        <v>0.2</v>
      </c>
      <c r="E14" s="55">
        <v>0.3</v>
      </c>
      <c r="F14" s="55">
        <v>0.4</v>
      </c>
      <c r="G14" s="55">
        <v>0.5</v>
      </c>
      <c r="H14" s="55">
        <v>0.6</v>
      </c>
      <c r="I14" s="55">
        <v>0.7</v>
      </c>
      <c r="J14" s="55">
        <v>0.8</v>
      </c>
      <c r="K14" s="55">
        <v>0.9</v>
      </c>
    </row>
    <row r="15" spans="1:11">
      <c r="A15" s="56">
        <v>0</v>
      </c>
      <c r="B15" s="79">
        <f>+F7</f>
        <v>0</v>
      </c>
      <c r="C15" s="79">
        <f t="shared" ref="C15:C21" si="0">IF($B$15="","",$B$15/(1-($A15+C$14)/100))</f>
        <v>0</v>
      </c>
      <c r="D15" s="79">
        <f t="shared" ref="D15:K21" si="1">IF($B$15="","",$B$15/(1-($A15+D$14)/100))</f>
        <v>0</v>
      </c>
      <c r="E15" s="79">
        <f t="shared" si="1"/>
        <v>0</v>
      </c>
      <c r="F15" s="79">
        <f t="shared" si="1"/>
        <v>0</v>
      </c>
      <c r="G15" s="79">
        <f t="shared" si="1"/>
        <v>0</v>
      </c>
      <c r="H15" s="79">
        <f t="shared" si="1"/>
        <v>0</v>
      </c>
      <c r="I15" s="79">
        <f t="shared" si="1"/>
        <v>0</v>
      </c>
      <c r="J15" s="79">
        <f t="shared" si="1"/>
        <v>0</v>
      </c>
      <c r="K15" s="79">
        <f t="shared" si="1"/>
        <v>0</v>
      </c>
    </row>
    <row r="16" spans="1:11">
      <c r="A16" s="55">
        <v>1</v>
      </c>
      <c r="B16" s="77">
        <f t="shared" ref="B16:B21" si="2">IF($B$15="","",$B$15/(1-($A16+B$14)/100))</f>
        <v>0</v>
      </c>
      <c r="C16" s="77">
        <f t="shared" si="0"/>
        <v>0</v>
      </c>
      <c r="D16" s="77">
        <f t="shared" si="1"/>
        <v>0</v>
      </c>
      <c r="E16" s="77">
        <f t="shared" si="1"/>
        <v>0</v>
      </c>
      <c r="F16" s="77">
        <f t="shared" si="1"/>
        <v>0</v>
      </c>
      <c r="G16" s="77">
        <f t="shared" si="1"/>
        <v>0</v>
      </c>
      <c r="H16" s="77">
        <f t="shared" si="1"/>
        <v>0</v>
      </c>
      <c r="I16" s="77">
        <f t="shared" si="1"/>
        <v>0</v>
      </c>
      <c r="J16" s="77">
        <f t="shared" si="1"/>
        <v>0</v>
      </c>
      <c r="K16" s="77">
        <f t="shared" si="1"/>
        <v>0</v>
      </c>
    </row>
    <row r="17" spans="1:11">
      <c r="A17" s="55">
        <v>2</v>
      </c>
      <c r="B17" s="77">
        <f t="shared" si="2"/>
        <v>0</v>
      </c>
      <c r="C17" s="77">
        <f t="shared" si="0"/>
        <v>0</v>
      </c>
      <c r="D17" s="77">
        <f t="shared" si="1"/>
        <v>0</v>
      </c>
      <c r="E17" s="77">
        <f t="shared" si="1"/>
        <v>0</v>
      </c>
      <c r="F17" s="77">
        <f t="shared" si="1"/>
        <v>0</v>
      </c>
      <c r="G17" s="77">
        <f t="shared" si="1"/>
        <v>0</v>
      </c>
      <c r="H17" s="77">
        <f t="shared" si="1"/>
        <v>0</v>
      </c>
      <c r="I17" s="77">
        <f t="shared" si="1"/>
        <v>0</v>
      </c>
      <c r="J17" s="77">
        <f t="shared" si="1"/>
        <v>0</v>
      </c>
      <c r="K17" s="77">
        <f t="shared" si="1"/>
        <v>0</v>
      </c>
    </row>
    <row r="18" spans="1:11">
      <c r="A18" s="55">
        <v>3</v>
      </c>
      <c r="B18" s="77">
        <f t="shared" si="2"/>
        <v>0</v>
      </c>
      <c r="C18" s="77">
        <f t="shared" si="0"/>
        <v>0</v>
      </c>
      <c r="D18" s="77">
        <f t="shared" si="1"/>
        <v>0</v>
      </c>
      <c r="E18" s="77">
        <f t="shared" si="1"/>
        <v>0</v>
      </c>
      <c r="F18" s="77">
        <f t="shared" si="1"/>
        <v>0</v>
      </c>
      <c r="G18" s="77">
        <f t="shared" si="1"/>
        <v>0</v>
      </c>
      <c r="H18" s="77">
        <f t="shared" si="1"/>
        <v>0</v>
      </c>
      <c r="I18" s="77">
        <f t="shared" si="1"/>
        <v>0</v>
      </c>
      <c r="J18" s="77">
        <f t="shared" si="1"/>
        <v>0</v>
      </c>
      <c r="K18" s="77">
        <f t="shared" si="1"/>
        <v>0</v>
      </c>
    </row>
    <row r="19" spans="1:11">
      <c r="A19" s="55">
        <v>4</v>
      </c>
      <c r="B19" s="77">
        <f t="shared" si="2"/>
        <v>0</v>
      </c>
      <c r="C19" s="77">
        <f t="shared" si="0"/>
        <v>0</v>
      </c>
      <c r="D19" s="77">
        <f t="shared" si="1"/>
        <v>0</v>
      </c>
      <c r="E19" s="77">
        <f t="shared" si="1"/>
        <v>0</v>
      </c>
      <c r="F19" s="77">
        <f t="shared" si="1"/>
        <v>0</v>
      </c>
      <c r="G19" s="77">
        <f t="shared" si="1"/>
        <v>0</v>
      </c>
      <c r="H19" s="77">
        <f t="shared" si="1"/>
        <v>0</v>
      </c>
      <c r="I19" s="77">
        <f t="shared" si="1"/>
        <v>0</v>
      </c>
      <c r="J19" s="77">
        <f t="shared" si="1"/>
        <v>0</v>
      </c>
      <c r="K19" s="77">
        <f t="shared" si="1"/>
        <v>0</v>
      </c>
    </row>
    <row r="20" spans="1:11">
      <c r="A20" s="55">
        <v>5</v>
      </c>
      <c r="B20" s="77">
        <f t="shared" si="2"/>
        <v>0</v>
      </c>
      <c r="C20" s="77">
        <f t="shared" si="0"/>
        <v>0</v>
      </c>
      <c r="D20" s="77">
        <f t="shared" si="1"/>
        <v>0</v>
      </c>
      <c r="E20" s="77">
        <f t="shared" si="1"/>
        <v>0</v>
      </c>
      <c r="F20" s="77">
        <f t="shared" si="1"/>
        <v>0</v>
      </c>
      <c r="G20" s="77">
        <f t="shared" si="1"/>
        <v>0</v>
      </c>
      <c r="H20" s="77">
        <f t="shared" si="1"/>
        <v>0</v>
      </c>
      <c r="I20" s="77">
        <f t="shared" si="1"/>
        <v>0</v>
      </c>
      <c r="J20" s="77">
        <f t="shared" si="1"/>
        <v>0</v>
      </c>
      <c r="K20" s="77">
        <f t="shared" si="1"/>
        <v>0</v>
      </c>
    </row>
    <row r="21" spans="1:11">
      <c r="A21" s="55">
        <v>6</v>
      </c>
      <c r="B21" s="78">
        <f t="shared" si="2"/>
        <v>0</v>
      </c>
      <c r="C21" s="78">
        <f t="shared" si="0"/>
        <v>0</v>
      </c>
      <c r="D21" s="78">
        <f t="shared" si="1"/>
        <v>0</v>
      </c>
      <c r="E21" s="78">
        <f t="shared" si="1"/>
        <v>0</v>
      </c>
      <c r="F21" s="78">
        <f t="shared" si="1"/>
        <v>0</v>
      </c>
      <c r="G21" s="78">
        <f t="shared" si="1"/>
        <v>0</v>
      </c>
      <c r="H21" s="78">
        <f t="shared" si="1"/>
        <v>0</v>
      </c>
      <c r="I21" s="78">
        <f t="shared" si="1"/>
        <v>0</v>
      </c>
      <c r="J21" s="78">
        <f t="shared" si="1"/>
        <v>0</v>
      </c>
      <c r="K21" s="78">
        <f t="shared" si="1"/>
        <v>0</v>
      </c>
    </row>
    <row r="22" spans="1:11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1:11">
      <c r="A23" s="45"/>
      <c r="B23" s="45" t="s">
        <v>106</v>
      </c>
      <c r="C23" s="45"/>
      <c r="D23" s="45"/>
      <c r="E23" s="45"/>
      <c r="F23" s="45"/>
      <c r="G23" s="45"/>
      <c r="H23" s="45"/>
      <c r="I23" s="45"/>
      <c r="J23" s="45"/>
      <c r="K23" s="45"/>
    </row>
    <row r="24" spans="1:11">
      <c r="A24" s="46"/>
      <c r="B24" s="55">
        <v>0</v>
      </c>
      <c r="C24" s="55">
        <v>0.1</v>
      </c>
      <c r="D24" s="55">
        <v>0.2</v>
      </c>
      <c r="E24" s="55">
        <v>0.3</v>
      </c>
      <c r="F24" s="55">
        <v>0.4</v>
      </c>
      <c r="G24" s="55">
        <v>0.5</v>
      </c>
      <c r="H24" s="55">
        <v>0.6</v>
      </c>
      <c r="I24" s="55">
        <v>0.7</v>
      </c>
      <c r="J24" s="55">
        <v>0.8</v>
      </c>
      <c r="K24" s="55">
        <v>0.9</v>
      </c>
    </row>
    <row r="25" spans="1:11">
      <c r="A25" s="56">
        <v>0</v>
      </c>
      <c r="B25" s="57">
        <f>F9</f>
        <v>0</v>
      </c>
      <c r="C25" s="79">
        <f t="shared" ref="C25:C31" si="3">IF($B$25="","",$B$25/(1-($A25+C$14)/100))</f>
        <v>0</v>
      </c>
      <c r="D25" s="79">
        <f t="shared" ref="D25:K31" si="4">IF($B$25="","",$B$25/(1-($A25+D$14)/100))</f>
        <v>0</v>
      </c>
      <c r="E25" s="79">
        <f t="shared" si="4"/>
        <v>0</v>
      </c>
      <c r="F25" s="79">
        <f t="shared" si="4"/>
        <v>0</v>
      </c>
      <c r="G25" s="79">
        <f t="shared" si="4"/>
        <v>0</v>
      </c>
      <c r="H25" s="79">
        <f t="shared" si="4"/>
        <v>0</v>
      </c>
      <c r="I25" s="79">
        <f t="shared" si="4"/>
        <v>0</v>
      </c>
      <c r="J25" s="79">
        <f t="shared" si="4"/>
        <v>0</v>
      </c>
      <c r="K25" s="79">
        <f t="shared" si="4"/>
        <v>0</v>
      </c>
    </row>
    <row r="26" spans="1:11">
      <c r="A26" s="55">
        <v>1</v>
      </c>
      <c r="B26" s="58">
        <f t="shared" ref="B26:B31" si="5">IF($B$25="","",$B$25/(1-($A26+B$14)/100))</f>
        <v>0</v>
      </c>
      <c r="C26" s="58">
        <f t="shared" si="3"/>
        <v>0</v>
      </c>
      <c r="D26" s="58">
        <f t="shared" si="4"/>
        <v>0</v>
      </c>
      <c r="E26" s="58">
        <f t="shared" si="4"/>
        <v>0</v>
      </c>
      <c r="F26" s="58">
        <f t="shared" si="4"/>
        <v>0</v>
      </c>
      <c r="G26" s="58">
        <f t="shared" si="4"/>
        <v>0</v>
      </c>
      <c r="H26" s="58">
        <f t="shared" si="4"/>
        <v>0</v>
      </c>
      <c r="I26" s="58">
        <f t="shared" si="4"/>
        <v>0</v>
      </c>
      <c r="J26" s="58">
        <f t="shared" si="4"/>
        <v>0</v>
      </c>
      <c r="K26" s="77">
        <f t="shared" si="4"/>
        <v>0</v>
      </c>
    </row>
    <row r="27" spans="1:11">
      <c r="A27" s="55">
        <v>2</v>
      </c>
      <c r="B27" s="58">
        <f t="shared" si="5"/>
        <v>0</v>
      </c>
      <c r="C27" s="58">
        <f t="shared" si="3"/>
        <v>0</v>
      </c>
      <c r="D27" s="58">
        <f t="shared" si="4"/>
        <v>0</v>
      </c>
      <c r="E27" s="58">
        <f t="shared" si="4"/>
        <v>0</v>
      </c>
      <c r="F27" s="58">
        <f t="shared" si="4"/>
        <v>0</v>
      </c>
      <c r="G27" s="58">
        <f t="shared" si="4"/>
        <v>0</v>
      </c>
      <c r="H27" s="58">
        <f t="shared" si="4"/>
        <v>0</v>
      </c>
      <c r="I27" s="58">
        <f t="shared" si="4"/>
        <v>0</v>
      </c>
      <c r="J27" s="58">
        <f t="shared" si="4"/>
        <v>0</v>
      </c>
      <c r="K27" s="77">
        <f t="shared" si="4"/>
        <v>0</v>
      </c>
    </row>
    <row r="28" spans="1:11">
      <c r="A28" s="55">
        <v>3</v>
      </c>
      <c r="B28" s="58">
        <f t="shared" si="5"/>
        <v>0</v>
      </c>
      <c r="C28" s="58">
        <f t="shared" si="3"/>
        <v>0</v>
      </c>
      <c r="D28" s="58">
        <f t="shared" si="4"/>
        <v>0</v>
      </c>
      <c r="E28" s="58">
        <f t="shared" si="4"/>
        <v>0</v>
      </c>
      <c r="F28" s="58">
        <f t="shared" si="4"/>
        <v>0</v>
      </c>
      <c r="G28" s="58">
        <f t="shared" si="4"/>
        <v>0</v>
      </c>
      <c r="H28" s="58">
        <f t="shared" si="4"/>
        <v>0</v>
      </c>
      <c r="I28" s="58">
        <f t="shared" si="4"/>
        <v>0</v>
      </c>
      <c r="J28" s="58">
        <f t="shared" si="4"/>
        <v>0</v>
      </c>
      <c r="K28" s="77">
        <f t="shared" si="4"/>
        <v>0</v>
      </c>
    </row>
    <row r="29" spans="1:11">
      <c r="A29" s="55">
        <v>4</v>
      </c>
      <c r="B29" s="58">
        <f t="shared" si="5"/>
        <v>0</v>
      </c>
      <c r="C29" s="58">
        <f t="shared" si="3"/>
        <v>0</v>
      </c>
      <c r="D29" s="58">
        <f t="shared" si="4"/>
        <v>0</v>
      </c>
      <c r="E29" s="58">
        <f t="shared" si="4"/>
        <v>0</v>
      </c>
      <c r="F29" s="58">
        <f t="shared" si="4"/>
        <v>0</v>
      </c>
      <c r="G29" s="58">
        <f t="shared" si="4"/>
        <v>0</v>
      </c>
      <c r="H29" s="58">
        <f t="shared" si="4"/>
        <v>0</v>
      </c>
      <c r="I29" s="58">
        <f t="shared" si="4"/>
        <v>0</v>
      </c>
      <c r="J29" s="58">
        <f t="shared" si="4"/>
        <v>0</v>
      </c>
      <c r="K29" s="77">
        <f t="shared" si="4"/>
        <v>0</v>
      </c>
    </row>
    <row r="30" spans="1:11">
      <c r="A30" s="55">
        <v>5</v>
      </c>
      <c r="B30" s="58">
        <f t="shared" si="5"/>
        <v>0</v>
      </c>
      <c r="C30" s="58">
        <f t="shared" si="3"/>
        <v>0</v>
      </c>
      <c r="D30" s="58">
        <f t="shared" si="4"/>
        <v>0</v>
      </c>
      <c r="E30" s="58">
        <f t="shared" si="4"/>
        <v>0</v>
      </c>
      <c r="F30" s="58">
        <f t="shared" si="4"/>
        <v>0</v>
      </c>
      <c r="G30" s="58">
        <f t="shared" si="4"/>
        <v>0</v>
      </c>
      <c r="H30" s="58">
        <f t="shared" si="4"/>
        <v>0</v>
      </c>
      <c r="I30" s="58">
        <f t="shared" si="4"/>
        <v>0</v>
      </c>
      <c r="J30" s="58">
        <f t="shared" si="4"/>
        <v>0</v>
      </c>
      <c r="K30" s="77">
        <f t="shared" si="4"/>
        <v>0</v>
      </c>
    </row>
    <row r="31" spans="1:11">
      <c r="A31" s="55">
        <v>6</v>
      </c>
      <c r="B31" s="59">
        <f t="shared" si="5"/>
        <v>0</v>
      </c>
      <c r="C31" s="59">
        <f t="shared" si="3"/>
        <v>0</v>
      </c>
      <c r="D31" s="59">
        <f t="shared" si="4"/>
        <v>0</v>
      </c>
      <c r="E31" s="59">
        <f t="shared" si="4"/>
        <v>0</v>
      </c>
      <c r="F31" s="59">
        <f t="shared" si="4"/>
        <v>0</v>
      </c>
      <c r="G31" s="59">
        <f t="shared" si="4"/>
        <v>0</v>
      </c>
      <c r="H31" s="59">
        <f t="shared" si="4"/>
        <v>0</v>
      </c>
      <c r="I31" s="59">
        <f t="shared" si="4"/>
        <v>0</v>
      </c>
      <c r="J31" s="59">
        <f t="shared" si="4"/>
        <v>0</v>
      </c>
      <c r="K31" s="78">
        <f t="shared" si="4"/>
        <v>0</v>
      </c>
    </row>
    <row r="32" spans="1:11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</row>
    <row r="33" spans="1:11">
      <c r="A33" s="45"/>
      <c r="B33" s="45" t="s">
        <v>111</v>
      </c>
      <c r="C33" s="45"/>
      <c r="D33" s="45"/>
      <c r="E33" s="45"/>
      <c r="F33" s="45"/>
      <c r="G33" s="45"/>
      <c r="H33" s="45"/>
      <c r="I33" s="45"/>
      <c r="J33" s="45"/>
      <c r="K33" s="45"/>
    </row>
    <row r="34" spans="1:11">
      <c r="A34" s="46"/>
      <c r="B34" s="55">
        <v>0</v>
      </c>
      <c r="C34" s="55">
        <v>0.1</v>
      </c>
      <c r="D34" s="55">
        <v>0.2</v>
      </c>
      <c r="E34" s="55">
        <v>0.3</v>
      </c>
      <c r="F34" s="55">
        <v>0.4</v>
      </c>
      <c r="G34" s="55">
        <v>0.5</v>
      </c>
      <c r="H34" s="55">
        <v>0.6</v>
      </c>
      <c r="I34" s="55">
        <v>0.7</v>
      </c>
      <c r="J34" s="55">
        <v>0.8</v>
      </c>
      <c r="K34" s="55">
        <v>0.9</v>
      </c>
    </row>
    <row r="35" spans="1:11">
      <c r="A35" s="56">
        <v>0</v>
      </c>
      <c r="B35" s="57">
        <f>F8</f>
        <v>0</v>
      </c>
      <c r="C35" s="79">
        <f t="shared" ref="C35:C41" si="6">IF($B$35="","",$B$35/(1-($A35+C$14)/100))</f>
        <v>0</v>
      </c>
      <c r="D35" s="79">
        <f t="shared" ref="D35:K41" si="7">IF($B$35="","",$B$35/(1-($A35+D$14)/100))</f>
        <v>0</v>
      </c>
      <c r="E35" s="79">
        <f t="shared" si="7"/>
        <v>0</v>
      </c>
      <c r="F35" s="79">
        <f t="shared" si="7"/>
        <v>0</v>
      </c>
      <c r="G35" s="79">
        <f t="shared" si="7"/>
        <v>0</v>
      </c>
      <c r="H35" s="79">
        <f t="shared" si="7"/>
        <v>0</v>
      </c>
      <c r="I35" s="79">
        <f t="shared" si="7"/>
        <v>0</v>
      </c>
      <c r="J35" s="79">
        <f t="shared" si="7"/>
        <v>0</v>
      </c>
      <c r="K35" s="79">
        <f t="shared" si="7"/>
        <v>0</v>
      </c>
    </row>
    <row r="36" spans="1:11">
      <c r="A36" s="55">
        <v>1</v>
      </c>
      <c r="B36" s="58">
        <f t="shared" ref="B36:B41" si="8">IF($B$35="","",$B$35/(1-($A36+B$14)/100))</f>
        <v>0</v>
      </c>
      <c r="C36" s="58">
        <f t="shared" si="6"/>
        <v>0</v>
      </c>
      <c r="D36" s="58">
        <f t="shared" si="7"/>
        <v>0</v>
      </c>
      <c r="E36" s="58">
        <f t="shared" si="7"/>
        <v>0</v>
      </c>
      <c r="F36" s="58">
        <f t="shared" si="7"/>
        <v>0</v>
      </c>
      <c r="G36" s="58">
        <f t="shared" si="7"/>
        <v>0</v>
      </c>
      <c r="H36" s="58">
        <f t="shared" si="7"/>
        <v>0</v>
      </c>
      <c r="I36" s="58">
        <f t="shared" si="7"/>
        <v>0</v>
      </c>
      <c r="J36" s="58">
        <f t="shared" si="7"/>
        <v>0</v>
      </c>
      <c r="K36" s="77">
        <f t="shared" si="7"/>
        <v>0</v>
      </c>
    </row>
    <row r="37" spans="1:11">
      <c r="A37" s="55">
        <v>2</v>
      </c>
      <c r="B37" s="58">
        <f t="shared" si="8"/>
        <v>0</v>
      </c>
      <c r="C37" s="58">
        <f t="shared" si="6"/>
        <v>0</v>
      </c>
      <c r="D37" s="58">
        <f t="shared" si="7"/>
        <v>0</v>
      </c>
      <c r="E37" s="58">
        <f t="shared" si="7"/>
        <v>0</v>
      </c>
      <c r="F37" s="58">
        <f t="shared" si="7"/>
        <v>0</v>
      </c>
      <c r="G37" s="58">
        <f t="shared" si="7"/>
        <v>0</v>
      </c>
      <c r="H37" s="58">
        <f t="shared" si="7"/>
        <v>0</v>
      </c>
      <c r="I37" s="58">
        <f t="shared" si="7"/>
        <v>0</v>
      </c>
      <c r="J37" s="58">
        <f t="shared" si="7"/>
        <v>0</v>
      </c>
      <c r="K37" s="77">
        <f t="shared" si="7"/>
        <v>0</v>
      </c>
    </row>
    <row r="38" spans="1:11">
      <c r="A38" s="55">
        <v>3</v>
      </c>
      <c r="B38" s="58">
        <f t="shared" si="8"/>
        <v>0</v>
      </c>
      <c r="C38" s="58">
        <f t="shared" si="6"/>
        <v>0</v>
      </c>
      <c r="D38" s="58">
        <f t="shared" si="7"/>
        <v>0</v>
      </c>
      <c r="E38" s="58">
        <f t="shared" si="7"/>
        <v>0</v>
      </c>
      <c r="F38" s="58">
        <f t="shared" si="7"/>
        <v>0</v>
      </c>
      <c r="G38" s="58">
        <f t="shared" si="7"/>
        <v>0</v>
      </c>
      <c r="H38" s="58">
        <f t="shared" si="7"/>
        <v>0</v>
      </c>
      <c r="I38" s="58">
        <f t="shared" si="7"/>
        <v>0</v>
      </c>
      <c r="J38" s="58">
        <f t="shared" si="7"/>
        <v>0</v>
      </c>
      <c r="K38" s="77">
        <f t="shared" si="7"/>
        <v>0</v>
      </c>
    </row>
    <row r="39" spans="1:11">
      <c r="A39" s="55">
        <v>4</v>
      </c>
      <c r="B39" s="58">
        <f t="shared" si="8"/>
        <v>0</v>
      </c>
      <c r="C39" s="58">
        <f t="shared" si="6"/>
        <v>0</v>
      </c>
      <c r="D39" s="58">
        <f t="shared" si="7"/>
        <v>0</v>
      </c>
      <c r="E39" s="58">
        <f t="shared" si="7"/>
        <v>0</v>
      </c>
      <c r="F39" s="58">
        <f t="shared" si="7"/>
        <v>0</v>
      </c>
      <c r="G39" s="58">
        <f t="shared" si="7"/>
        <v>0</v>
      </c>
      <c r="H39" s="58">
        <f t="shared" si="7"/>
        <v>0</v>
      </c>
      <c r="I39" s="58">
        <f t="shared" si="7"/>
        <v>0</v>
      </c>
      <c r="J39" s="58">
        <f t="shared" si="7"/>
        <v>0</v>
      </c>
      <c r="K39" s="77">
        <f t="shared" si="7"/>
        <v>0</v>
      </c>
    </row>
    <row r="40" spans="1:11">
      <c r="A40" s="55">
        <v>5</v>
      </c>
      <c r="B40" s="58">
        <f t="shared" si="8"/>
        <v>0</v>
      </c>
      <c r="C40" s="58">
        <f t="shared" si="6"/>
        <v>0</v>
      </c>
      <c r="D40" s="58">
        <f t="shared" si="7"/>
        <v>0</v>
      </c>
      <c r="E40" s="58">
        <f t="shared" si="7"/>
        <v>0</v>
      </c>
      <c r="F40" s="58">
        <f t="shared" si="7"/>
        <v>0</v>
      </c>
      <c r="G40" s="58">
        <f t="shared" si="7"/>
        <v>0</v>
      </c>
      <c r="H40" s="58">
        <f t="shared" si="7"/>
        <v>0</v>
      </c>
      <c r="I40" s="58">
        <f t="shared" si="7"/>
        <v>0</v>
      </c>
      <c r="J40" s="58">
        <f t="shared" si="7"/>
        <v>0</v>
      </c>
      <c r="K40" s="77">
        <f t="shared" si="7"/>
        <v>0</v>
      </c>
    </row>
    <row r="41" spans="1:11">
      <c r="A41" s="55">
        <v>6</v>
      </c>
      <c r="B41" s="59">
        <f t="shared" si="8"/>
        <v>0</v>
      </c>
      <c r="C41" s="59">
        <f t="shared" si="6"/>
        <v>0</v>
      </c>
      <c r="D41" s="59">
        <f t="shared" si="7"/>
        <v>0</v>
      </c>
      <c r="E41" s="59">
        <f t="shared" si="7"/>
        <v>0</v>
      </c>
      <c r="F41" s="59">
        <f t="shared" si="7"/>
        <v>0</v>
      </c>
      <c r="G41" s="59">
        <f t="shared" si="7"/>
        <v>0</v>
      </c>
      <c r="H41" s="59">
        <f t="shared" si="7"/>
        <v>0</v>
      </c>
      <c r="I41" s="59">
        <f t="shared" si="7"/>
        <v>0</v>
      </c>
      <c r="J41" s="59">
        <f t="shared" si="7"/>
        <v>0</v>
      </c>
      <c r="K41" s="78">
        <f t="shared" si="7"/>
        <v>0</v>
      </c>
    </row>
  </sheetData>
  <sheetProtection password="D8FF" sheet="1" objects="1" scenarios="1"/>
  <mergeCells count="1">
    <mergeCell ref="F3:G3"/>
  </mergeCells>
  <phoneticPr fontId="2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59"/>
  <sheetViews>
    <sheetView view="pageBreakPreview" zoomScale="75" zoomScaleNormal="100" workbookViewId="0">
      <selection activeCell="E7" sqref="E7"/>
    </sheetView>
  </sheetViews>
  <sheetFormatPr defaultRowHeight="15"/>
  <cols>
    <col min="1" max="1" width="19.21875" customWidth="1"/>
    <col min="2" max="2" width="14.6640625" customWidth="1"/>
    <col min="3" max="3" width="12.44140625" customWidth="1"/>
    <col min="4" max="4" width="12.77734375" customWidth="1"/>
    <col min="5" max="5" width="9.21875" customWidth="1"/>
    <col min="6" max="6" width="12.77734375" customWidth="1"/>
    <col min="7" max="7" width="17.77734375" customWidth="1"/>
    <col min="8" max="8" width="10.77734375" customWidth="1"/>
  </cols>
  <sheetData>
    <row r="1" spans="1:8" ht="15.75">
      <c r="A1" s="60" t="s">
        <v>202</v>
      </c>
      <c r="B1" s="61"/>
      <c r="C1" s="87" t="s">
        <v>113</v>
      </c>
      <c r="D1" s="63"/>
      <c r="F1" s="63"/>
      <c r="G1" s="62"/>
      <c r="H1" s="64" t="s">
        <v>167</v>
      </c>
    </row>
    <row r="2" spans="1:8" ht="15.75">
      <c r="A2" s="62"/>
      <c r="B2" s="65"/>
      <c r="C2" s="87" t="s">
        <v>114</v>
      </c>
      <c r="D2" s="63"/>
      <c r="F2" s="63"/>
      <c r="G2" s="62"/>
      <c r="H2" s="62"/>
    </row>
    <row r="3" spans="1:8" ht="15.75">
      <c r="A3" s="66"/>
      <c r="B3" s="65"/>
      <c r="C3" s="87" t="s">
        <v>115</v>
      </c>
      <c r="D3" s="63"/>
      <c r="F3" s="63"/>
      <c r="G3" s="62"/>
      <c r="H3" s="62"/>
    </row>
    <row r="4" spans="1:8">
      <c r="A4" s="62"/>
      <c r="B4" s="62"/>
      <c r="C4" s="62"/>
      <c r="D4" s="62"/>
      <c r="E4" s="62"/>
      <c r="F4" s="62"/>
      <c r="G4" s="62"/>
      <c r="H4" s="62"/>
    </row>
    <row r="5" spans="1:8" ht="15.75">
      <c r="A5" s="80" t="s">
        <v>116</v>
      </c>
      <c r="B5" s="81"/>
      <c r="C5" s="81"/>
      <c r="D5" s="83"/>
      <c r="E5" s="84"/>
      <c r="F5" s="84"/>
      <c r="G5" s="83" t="s">
        <v>117</v>
      </c>
      <c r="H5" s="81" t="str">
        <f>IF('Mix Info'!B1="","",'Mix Info'!B1)</f>
        <v/>
      </c>
    </row>
    <row r="6" spans="1:8" ht="15.75">
      <c r="A6" s="84"/>
      <c r="B6" s="84"/>
      <c r="C6" s="84"/>
      <c r="D6" s="84"/>
      <c r="E6" s="84"/>
      <c r="F6" s="84"/>
      <c r="G6" s="84"/>
      <c r="H6" s="84"/>
    </row>
    <row r="7" spans="1:8" ht="15.75">
      <c r="A7" s="83" t="s">
        <v>118</v>
      </c>
      <c r="B7" s="86">
        <f>IF('Batch Wts. English'!F3="","",'Batch Wts. English'!F3)</f>
        <v>0</v>
      </c>
      <c r="D7" s="122" t="s">
        <v>197</v>
      </c>
      <c r="E7" s="123" t="str">
        <f>IF(E820150A!B13="","",E820150A!B13)</f>
        <v/>
      </c>
      <c r="F7" s="85"/>
      <c r="G7" s="83" t="s">
        <v>194</v>
      </c>
      <c r="H7" s="91" t="str">
        <f>IF('Mix Info'!B8="","",'Mix Info'!B8)</f>
        <v/>
      </c>
    </row>
    <row r="8" spans="1:8" ht="15.75">
      <c r="A8" s="85"/>
      <c r="B8" s="85"/>
      <c r="C8" s="84"/>
      <c r="D8" s="85"/>
      <c r="E8" s="84"/>
      <c r="F8" s="85"/>
      <c r="G8" s="85"/>
      <c r="H8" s="84"/>
    </row>
    <row r="9" spans="1:8" ht="15.75">
      <c r="A9" s="83" t="s">
        <v>199</v>
      </c>
      <c r="B9" s="89">
        <f>IF(E820150A!B33="","",E820150A!B33*0.5935)</f>
        <v>0</v>
      </c>
      <c r="C9" s="34" t="s">
        <v>187</v>
      </c>
      <c r="D9" s="83" t="s">
        <v>119</v>
      </c>
      <c r="E9" s="81" t="str">
        <f>IF('Mix Info'!B7="","",CONCATENATE('Mix Info'!B7," ",'Mix Info'!B8))</f>
        <v/>
      </c>
      <c r="F9" s="82"/>
      <c r="G9" s="83" t="s">
        <v>120</v>
      </c>
      <c r="H9" s="91" t="str">
        <f>IF('Mix Info'!B9="","",'Mix Info'!B9)</f>
        <v/>
      </c>
    </row>
    <row r="10" spans="1:8" ht="15.75">
      <c r="A10" s="84"/>
      <c r="B10" s="120" t="s">
        <v>198</v>
      </c>
      <c r="C10" s="92"/>
      <c r="D10" s="84"/>
      <c r="E10" s="84"/>
      <c r="F10" s="84"/>
      <c r="G10" s="84"/>
      <c r="H10" s="84"/>
    </row>
    <row r="11" spans="1:8" ht="15.75">
      <c r="A11" s="83" t="s">
        <v>203</v>
      </c>
      <c r="B11" s="86" t="str">
        <f>IF('Mix Info'!B12="","",'Mix Info'!B12)</f>
        <v/>
      </c>
      <c r="C11" s="124">
        <f>IF(B7="","",'Batch Wts. Metric'!F5)</f>
        <v>0</v>
      </c>
      <c r="D11" s="83" t="s">
        <v>119</v>
      </c>
      <c r="E11" s="81" t="str">
        <f>IF('Mix Info'!B10="","",'Mix Info'!B10)</f>
        <v/>
      </c>
      <c r="F11" s="81"/>
      <c r="G11" s="83" t="s">
        <v>120</v>
      </c>
      <c r="H11" s="91" t="str">
        <f>IF('Mix Info'!B13="","",'Mix Info'!B13)</f>
        <v/>
      </c>
    </row>
    <row r="12" spans="1:8" ht="15.75">
      <c r="A12" s="83"/>
      <c r="B12" s="120"/>
      <c r="C12" s="93"/>
      <c r="D12" s="83"/>
      <c r="E12" s="94"/>
      <c r="F12" s="94"/>
      <c r="G12" s="83"/>
      <c r="H12" s="95"/>
    </row>
    <row r="13" spans="1:8" ht="15.75">
      <c r="A13" s="83" t="s">
        <v>204</v>
      </c>
      <c r="B13" s="86" t="str">
        <f>IF('Mix Info'!B15="","",'Mix Info'!B15)</f>
        <v/>
      </c>
      <c r="C13" s="124">
        <f>IF(B7="","",'Batch Wts. Metric'!F6)</f>
        <v>0</v>
      </c>
      <c r="D13" s="83" t="s">
        <v>119</v>
      </c>
      <c r="E13" s="81" t="str">
        <f>IF('Mix Info'!B14="","",'Mix Info'!B14)</f>
        <v/>
      </c>
      <c r="F13" s="81"/>
      <c r="G13" s="83" t="s">
        <v>120</v>
      </c>
      <c r="H13" s="91" t="str">
        <f>IF('Mix Info'!B16="","",'Mix Info'!B16)</f>
        <v/>
      </c>
    </row>
    <row r="14" spans="1:8" ht="15.75">
      <c r="A14" s="83"/>
      <c r="B14" s="83"/>
      <c r="C14" s="93"/>
      <c r="D14" s="83"/>
      <c r="E14" s="94"/>
      <c r="F14" s="94"/>
      <c r="G14" s="83"/>
      <c r="H14" s="95"/>
    </row>
    <row r="15" spans="1:8" ht="15.75">
      <c r="A15" s="109"/>
      <c r="B15" s="83" t="s">
        <v>205</v>
      </c>
      <c r="C15" s="124" t="str">
        <f>IF(E820150A!B34="","",E820150A!B34*0.5935)</f>
        <v/>
      </c>
      <c r="H15" s="95"/>
    </row>
    <row r="16" spans="1:8" ht="15.75">
      <c r="A16" s="84"/>
      <c r="B16" s="84"/>
      <c r="C16" s="97"/>
      <c r="D16" s="83"/>
      <c r="E16" s="94"/>
      <c r="F16" s="94"/>
      <c r="G16" s="83"/>
      <c r="H16" s="95"/>
    </row>
    <row r="17" spans="1:8" ht="15.75">
      <c r="A17" s="109"/>
      <c r="B17" s="83" t="s">
        <v>121</v>
      </c>
      <c r="C17" s="89" t="e">
        <f>IF(B9="","",C11+C13+C15)</f>
        <v>#VALUE!</v>
      </c>
      <c r="E17" s="83" t="s">
        <v>193</v>
      </c>
      <c r="F17" s="119" t="e">
        <f>IF(B7="","",E820150A!G35)</f>
        <v>#DIV/0!</v>
      </c>
      <c r="H17" s="95"/>
    </row>
    <row r="18" spans="1:8" ht="15.75">
      <c r="A18" s="84"/>
      <c r="B18" s="84"/>
      <c r="C18" s="84"/>
      <c r="D18" s="84"/>
      <c r="E18" s="84"/>
      <c r="F18" s="84"/>
      <c r="G18" s="84"/>
      <c r="H18" s="84"/>
    </row>
    <row r="19" spans="1:8" ht="15.75">
      <c r="A19" s="83" t="s">
        <v>170</v>
      </c>
      <c r="B19" s="87" t="s">
        <v>122</v>
      </c>
      <c r="C19" s="87"/>
      <c r="D19" s="676" t="str">
        <f>IF('Mix Info'!B17="","",'Mix Info'!B17)</f>
        <v/>
      </c>
      <c r="E19" s="677"/>
      <c r="F19" s="98"/>
      <c r="G19" s="83" t="s">
        <v>120</v>
      </c>
      <c r="H19" s="91" t="str">
        <f>IF('Mix Info'!B18="","",'Mix Info'!B18)</f>
        <v/>
      </c>
    </row>
    <row r="20" spans="1:8" ht="15.75">
      <c r="A20" s="83" t="s">
        <v>170</v>
      </c>
      <c r="B20" s="87" t="s">
        <v>123</v>
      </c>
      <c r="C20" s="87"/>
      <c r="D20" s="678" t="str">
        <f>IF('Mix Info'!B19="","",'Mix Info'!B19)</f>
        <v/>
      </c>
      <c r="E20" s="679"/>
      <c r="F20" s="100"/>
      <c r="G20" s="83" t="s">
        <v>120</v>
      </c>
      <c r="H20" s="91" t="str">
        <f>IF('Mix Info'!B20="","",'Mix Info'!B20)</f>
        <v/>
      </c>
    </row>
    <row r="21" spans="1:8" ht="15.75">
      <c r="A21" s="83" t="s">
        <v>170</v>
      </c>
      <c r="B21" s="87" t="s">
        <v>124</v>
      </c>
      <c r="C21" s="87"/>
      <c r="D21" s="678" t="str">
        <f>IF('Mix Info'!B21="","",'Mix Info'!B21)</f>
        <v/>
      </c>
      <c r="E21" s="679"/>
      <c r="F21" s="81"/>
      <c r="G21" s="83" t="s">
        <v>120</v>
      </c>
      <c r="H21" s="91" t="str">
        <f>IF('Mix Info'!B22="","",'Mix Info'!B22)</f>
        <v/>
      </c>
    </row>
    <row r="22" spans="1:8" ht="15.75">
      <c r="A22" s="84"/>
      <c r="B22" s="84"/>
      <c r="C22" s="84"/>
      <c r="D22" s="84"/>
      <c r="E22" s="84"/>
      <c r="F22" s="84"/>
      <c r="G22" s="84"/>
      <c r="H22" s="84"/>
    </row>
    <row r="23" spans="1:8" ht="15.75">
      <c r="A23" s="83" t="s">
        <v>125</v>
      </c>
      <c r="B23" s="102" t="str">
        <f>IF('Batch Wts. English'!G10="","",'Batch Wts. English'!G10)</f>
        <v/>
      </c>
      <c r="C23" s="109"/>
      <c r="D23" s="84"/>
      <c r="E23" s="84"/>
      <c r="F23" s="84"/>
      <c r="G23" s="83" t="s">
        <v>160</v>
      </c>
      <c r="H23" s="89" t="str">
        <f>'Batch Wts. Metric'!F10</f>
        <v/>
      </c>
    </row>
    <row r="24" spans="1:8" ht="15.75">
      <c r="A24" s="83" t="s">
        <v>126</v>
      </c>
      <c r="B24" s="102" t="str">
        <f>IF('Batch Wts. English'!G11="","",'Batch Wts. English'!G11)</f>
        <v/>
      </c>
      <c r="C24" s="109"/>
      <c r="D24" s="84"/>
      <c r="E24" s="84"/>
      <c r="F24" s="84"/>
      <c r="G24" s="83" t="s">
        <v>161</v>
      </c>
      <c r="H24" s="89" t="e">
        <f>'Batch Wts. Metric'!F11</f>
        <v>#VALUE!</v>
      </c>
    </row>
    <row r="25" spans="1:8" ht="15.75">
      <c r="A25" s="84"/>
      <c r="B25" s="84"/>
      <c r="C25" s="84"/>
      <c r="D25" s="84"/>
      <c r="E25" s="84"/>
      <c r="F25" s="84"/>
      <c r="G25" s="84"/>
      <c r="H25" s="84"/>
    </row>
    <row r="26" spans="1:8" ht="15.75">
      <c r="A26" s="84" t="s">
        <v>127</v>
      </c>
      <c r="B26" s="83" t="s">
        <v>3</v>
      </c>
      <c r="C26" s="84" t="s">
        <v>128</v>
      </c>
      <c r="D26" s="84"/>
      <c r="E26" s="84" t="s">
        <v>162</v>
      </c>
      <c r="F26" s="84"/>
      <c r="G26" s="83"/>
      <c r="H26" s="103" t="str">
        <f>IF(E820150A!B14="","",E820150A!B14)</f>
        <v/>
      </c>
    </row>
    <row r="27" spans="1:8" ht="15.75">
      <c r="A27" s="84"/>
      <c r="B27" s="84"/>
      <c r="C27" s="84"/>
      <c r="D27" s="84"/>
      <c r="E27" s="110"/>
      <c r="F27" s="84"/>
      <c r="G27" s="84"/>
      <c r="H27" s="84"/>
    </row>
    <row r="28" spans="1:8" ht="15.75">
      <c r="A28" s="84"/>
      <c r="B28" s="83" t="s">
        <v>4</v>
      </c>
      <c r="C28" s="84" t="s">
        <v>128</v>
      </c>
      <c r="D28" s="84"/>
      <c r="E28" s="84" t="s">
        <v>162</v>
      </c>
      <c r="F28" s="84"/>
      <c r="G28" s="83"/>
      <c r="H28" s="103" t="str">
        <f>IF(E820150A!B15="","",E820150A!B15)</f>
        <v/>
      </c>
    </row>
    <row r="29" spans="1:8" ht="15.75">
      <c r="A29" s="84"/>
      <c r="B29" s="84"/>
      <c r="C29" s="84"/>
      <c r="D29" s="84"/>
      <c r="E29" s="110"/>
      <c r="F29" s="84"/>
      <c r="G29" s="84"/>
      <c r="H29" s="84"/>
    </row>
    <row r="30" spans="1:8" ht="15.75">
      <c r="A30" s="84"/>
      <c r="B30" s="83" t="s">
        <v>129</v>
      </c>
      <c r="C30" s="84" t="s">
        <v>128</v>
      </c>
      <c r="D30" s="84"/>
      <c r="E30" s="84" t="s">
        <v>162</v>
      </c>
      <c r="F30" s="84"/>
      <c r="G30" s="83"/>
      <c r="H30" s="103" t="str">
        <f>IF(E820150A!B16="","",E820150A!B16)</f>
        <v/>
      </c>
    </row>
    <row r="31" spans="1:8" ht="15.75">
      <c r="A31" s="84"/>
      <c r="B31" s="84"/>
      <c r="C31" s="84"/>
      <c r="D31" s="84"/>
      <c r="E31" s="84"/>
      <c r="F31" s="84"/>
      <c r="G31" s="84"/>
      <c r="H31" s="84"/>
    </row>
    <row r="32" spans="1:8" ht="15.75">
      <c r="A32" s="84"/>
      <c r="B32" s="83" t="s">
        <v>130</v>
      </c>
      <c r="C32" s="84" t="s">
        <v>128</v>
      </c>
      <c r="D32" s="84"/>
      <c r="E32" s="84" t="s">
        <v>162</v>
      </c>
      <c r="F32" s="84"/>
      <c r="G32" s="83"/>
      <c r="H32" s="103" t="str">
        <f>IF(E820150A!B17="","",E820150A!B17)</f>
        <v/>
      </c>
    </row>
    <row r="33" spans="1:8" ht="15.75">
      <c r="A33" s="84"/>
      <c r="B33" s="84"/>
      <c r="C33" s="84"/>
      <c r="D33" s="84"/>
      <c r="E33" s="110"/>
      <c r="F33" s="84"/>
      <c r="G33" s="84"/>
      <c r="H33" s="84"/>
    </row>
    <row r="34" spans="1:8" ht="15.75">
      <c r="A34" s="84"/>
      <c r="B34" s="83" t="s">
        <v>132</v>
      </c>
      <c r="C34" s="84" t="s">
        <v>133</v>
      </c>
      <c r="D34" s="84"/>
      <c r="E34" s="84"/>
      <c r="F34" s="84"/>
      <c r="G34" s="84"/>
      <c r="H34" s="105">
        <f>IF(E820150A!B18="","",E820150A!B18)</f>
        <v>0.06</v>
      </c>
    </row>
    <row r="35" spans="1:8" ht="15.75">
      <c r="A35" s="84"/>
      <c r="B35" s="84"/>
      <c r="C35" s="84"/>
      <c r="D35" s="84"/>
      <c r="E35" s="84"/>
      <c r="F35" s="84"/>
      <c r="G35" s="84"/>
      <c r="H35" s="84"/>
    </row>
    <row r="36" spans="1:8" ht="15.75">
      <c r="A36" s="84"/>
      <c r="B36" s="84"/>
      <c r="C36" s="84"/>
      <c r="D36" s="84"/>
      <c r="E36" s="84"/>
      <c r="F36" s="83" t="s">
        <v>32</v>
      </c>
      <c r="G36" s="83" t="s">
        <v>131</v>
      </c>
      <c r="H36" s="103" t="str">
        <f>IF(E820150A!B19="","",E820150A!B19)</f>
        <v/>
      </c>
    </row>
    <row r="37" spans="1:8" ht="15.75">
      <c r="A37" s="84"/>
      <c r="B37" s="84"/>
      <c r="C37" s="84"/>
      <c r="D37" s="84"/>
      <c r="F37" s="87" t="s">
        <v>134</v>
      </c>
      <c r="G37" s="83" t="s">
        <v>131</v>
      </c>
      <c r="H37" s="103" t="str">
        <f>IF(E820150A!B20="","",E820150A!B20)</f>
        <v/>
      </c>
    </row>
    <row r="38" spans="1:8" ht="15.75">
      <c r="A38" s="84"/>
      <c r="B38" s="84"/>
      <c r="C38" s="84"/>
      <c r="D38" s="84"/>
      <c r="E38" s="84"/>
      <c r="F38" s="83" t="s">
        <v>5</v>
      </c>
      <c r="G38" s="83" t="s">
        <v>131</v>
      </c>
      <c r="H38" s="105">
        <v>1</v>
      </c>
    </row>
    <row r="39" spans="1:8" ht="15.75">
      <c r="A39" s="84"/>
      <c r="B39" s="84"/>
      <c r="C39" s="84"/>
      <c r="D39" s="84"/>
      <c r="E39" s="84"/>
      <c r="F39" s="84"/>
      <c r="G39" s="84"/>
      <c r="H39" s="84"/>
    </row>
    <row r="40" spans="1:8" ht="15.75">
      <c r="A40" s="83" t="s">
        <v>135</v>
      </c>
      <c r="B40" s="106" t="str">
        <f>IF(E820150A!B22="","",IF(E820150A!B22=0,"",E820150A!B22))</f>
        <v/>
      </c>
      <c r="C40" s="87" t="s">
        <v>136</v>
      </c>
      <c r="D40" s="87"/>
      <c r="E40" s="87"/>
      <c r="F40" s="87"/>
      <c r="G40" s="83" t="s">
        <v>131</v>
      </c>
      <c r="H40" s="103">
        <f>' Form E820150'!I42</f>
        <v>0</v>
      </c>
    </row>
    <row r="41" spans="1:8" ht="15.75">
      <c r="A41" s="83" t="s">
        <v>137</v>
      </c>
      <c r="B41" s="106" t="str">
        <f>IF(E820150A!B23="","",IF(E820150A!B23=0,"",E820150A!B23))</f>
        <v/>
      </c>
      <c r="C41" s="87" t="s">
        <v>138</v>
      </c>
      <c r="D41" s="87"/>
      <c r="E41" s="87"/>
      <c r="F41" s="87"/>
      <c r="G41" s="83" t="s">
        <v>131</v>
      </c>
      <c r="H41" s="103">
        <f>' Form E820150'!I43</f>
        <v>0</v>
      </c>
    </row>
    <row r="42" spans="1:8" ht="15.75">
      <c r="A42" s="83" t="s">
        <v>139</v>
      </c>
      <c r="B42" s="106" t="str">
        <f>IF(E820150A!B24="","",IF(E820150A!B24=0,"",E820150A!B24))</f>
        <v/>
      </c>
      <c r="C42" s="87" t="s">
        <v>140</v>
      </c>
      <c r="D42" s="87"/>
      <c r="E42" s="87"/>
      <c r="F42" s="87"/>
      <c r="G42" s="83" t="s">
        <v>131</v>
      </c>
      <c r="H42" s="103">
        <f>' Form E820150'!I44</f>
        <v>0</v>
      </c>
    </row>
    <row r="43" spans="1:8" ht="15.75">
      <c r="A43" s="84"/>
      <c r="B43" s="84"/>
      <c r="C43" s="84"/>
      <c r="D43" s="84"/>
      <c r="E43" s="87" t="s">
        <v>141</v>
      </c>
      <c r="F43" s="87"/>
      <c r="G43" s="83" t="s">
        <v>131</v>
      </c>
      <c r="H43" s="103">
        <f>IF(H40="","",SUM(H40:H42))</f>
        <v>0</v>
      </c>
    </row>
    <row r="44" spans="1:8" ht="15.75">
      <c r="B44" s="84"/>
      <c r="C44" s="84"/>
      <c r="D44" s="84"/>
      <c r="E44" s="84"/>
      <c r="F44" s="84"/>
      <c r="G44" s="84"/>
      <c r="H44" s="84"/>
    </row>
    <row r="45" spans="1:8" ht="15.75">
      <c r="A45" s="84" t="s">
        <v>142</v>
      </c>
      <c r="B45" s="84"/>
      <c r="C45" s="87" t="s">
        <v>163</v>
      </c>
      <c r="D45" s="87"/>
      <c r="E45" s="87"/>
      <c r="F45" s="87"/>
      <c r="G45" s="83" t="s">
        <v>131</v>
      </c>
      <c r="H45" s="107">
        <f>IF(E820150A!B38="","",E820150A!B38*0.5935)</f>
        <v>0</v>
      </c>
    </row>
    <row r="46" spans="1:8" ht="15.75">
      <c r="A46" s="84"/>
      <c r="B46" s="84"/>
      <c r="C46" s="84"/>
      <c r="D46" s="87"/>
      <c r="E46" s="87"/>
      <c r="F46" s="87"/>
      <c r="G46" s="84"/>
      <c r="H46" s="92"/>
    </row>
    <row r="47" spans="1:8" ht="15.75">
      <c r="A47" s="84"/>
      <c r="B47" s="84"/>
      <c r="C47" s="87" t="s">
        <v>164</v>
      </c>
      <c r="D47" s="87"/>
      <c r="E47" s="87"/>
      <c r="F47" s="87"/>
      <c r="G47" s="83" t="s">
        <v>131</v>
      </c>
      <c r="H47" s="107">
        <f>IF(E820150A!B39="","",E820150A!B39*0.5935)</f>
        <v>0</v>
      </c>
    </row>
    <row r="48" spans="1:8" ht="15.75">
      <c r="A48" s="84"/>
      <c r="B48" s="84"/>
      <c r="C48" s="84"/>
      <c r="D48" s="84"/>
      <c r="E48" s="84"/>
      <c r="F48" s="84"/>
      <c r="G48" s="84"/>
      <c r="H48" s="92"/>
    </row>
    <row r="49" spans="1:8" ht="15.75">
      <c r="A49" s="84"/>
      <c r="B49" s="84"/>
      <c r="C49" s="87" t="s">
        <v>165</v>
      </c>
      <c r="D49" s="87"/>
      <c r="E49" s="87"/>
      <c r="F49" s="87"/>
      <c r="G49" s="83" t="s">
        <v>131</v>
      </c>
      <c r="H49" s="107">
        <f>IF(E820150A!B40="","",E820150A!B40*0.5935)</f>
        <v>0</v>
      </c>
    </row>
    <row r="50" spans="1:8" ht="15.75">
      <c r="A50" s="84"/>
      <c r="B50" s="84"/>
      <c r="C50" s="84"/>
      <c r="D50" s="87"/>
      <c r="E50" s="87"/>
      <c r="F50" s="87"/>
      <c r="G50" s="84"/>
      <c r="H50" s="84"/>
    </row>
    <row r="51" spans="1:8" ht="15.75">
      <c r="A51" s="84" t="s">
        <v>143</v>
      </c>
      <c r="B51" s="84"/>
      <c r="C51" s="84"/>
      <c r="D51" s="83" t="s">
        <v>144</v>
      </c>
      <c r="E51" s="108" t="str">
        <f>IF(C15="","",C15)</f>
        <v/>
      </c>
      <c r="F51" s="84" t="s">
        <v>166</v>
      </c>
      <c r="G51" s="84"/>
      <c r="H51" s="84"/>
    </row>
    <row r="52" spans="1:8" ht="15.75">
      <c r="A52" s="84"/>
      <c r="B52" s="84"/>
      <c r="C52" s="110"/>
      <c r="D52" s="83" t="s">
        <v>145</v>
      </c>
      <c r="E52" s="108" t="str">
        <f>IF(C11=0,"",C11)</f>
        <v/>
      </c>
      <c r="F52" s="84" t="s">
        <v>166</v>
      </c>
    </row>
    <row r="53" spans="1:8" ht="15.75">
      <c r="A53" s="84"/>
      <c r="B53" s="84"/>
      <c r="C53" s="110"/>
      <c r="D53" s="83" t="s">
        <v>146</v>
      </c>
      <c r="E53" s="108" t="str">
        <f>IF(C13=0,"",C13)</f>
        <v/>
      </c>
      <c r="F53" s="84" t="s">
        <v>166</v>
      </c>
      <c r="G53" s="84"/>
      <c r="H53" s="84"/>
    </row>
    <row r="54" spans="1:8" ht="15.75">
      <c r="A54" s="84"/>
      <c r="B54" s="84"/>
      <c r="C54" s="110"/>
      <c r="D54" s="83" t="s">
        <v>147</v>
      </c>
      <c r="E54" s="108" t="str">
        <f>IF(H23="","",H23)</f>
        <v/>
      </c>
      <c r="F54" s="84" t="s">
        <v>166</v>
      </c>
      <c r="G54" s="84"/>
      <c r="H54" s="84"/>
    </row>
    <row r="55" spans="1:8" ht="15.75">
      <c r="A55" s="84"/>
      <c r="B55" s="84"/>
      <c r="C55" s="110"/>
      <c r="D55" s="83" t="s">
        <v>148</v>
      </c>
      <c r="E55" s="108">
        <f>IF(H45="","",H45)</f>
        <v>0</v>
      </c>
      <c r="F55" s="84" t="s">
        <v>166</v>
      </c>
      <c r="G55" s="84"/>
      <c r="H55" s="84"/>
    </row>
    <row r="56" spans="1:8" ht="15.75">
      <c r="A56" s="84"/>
      <c r="B56" s="84"/>
      <c r="C56" s="110"/>
      <c r="D56" s="83" t="s">
        <v>149</v>
      </c>
      <c r="E56" s="108">
        <f>IF(H47="","",H47)</f>
        <v>0</v>
      </c>
      <c r="F56" s="84" t="s">
        <v>166</v>
      </c>
      <c r="G56" s="84"/>
      <c r="H56" s="84"/>
    </row>
    <row r="57" spans="1:8" ht="15.75">
      <c r="A57" s="84"/>
      <c r="B57" s="84"/>
      <c r="C57" s="110"/>
      <c r="D57" s="83" t="s">
        <v>150</v>
      </c>
      <c r="E57" s="108">
        <f>IF(H49="","",H49)</f>
        <v>0</v>
      </c>
      <c r="F57" s="84" t="s">
        <v>166</v>
      </c>
      <c r="G57" s="84"/>
      <c r="H57" s="84"/>
    </row>
    <row r="58" spans="1:8" ht="15.75">
      <c r="A58" s="84"/>
      <c r="B58" s="84"/>
      <c r="C58" s="84"/>
      <c r="D58" s="84"/>
      <c r="E58" s="84"/>
      <c r="F58" s="84"/>
      <c r="G58" s="84"/>
      <c r="H58" s="84"/>
    </row>
    <row r="59" spans="1:8">
      <c r="A59" s="67" t="s">
        <v>207</v>
      </c>
      <c r="B59" s="65"/>
      <c r="C59" s="65"/>
      <c r="D59" s="65"/>
      <c r="E59" s="65"/>
      <c r="F59" s="65"/>
      <c r="G59" s="65"/>
      <c r="H59" s="65"/>
    </row>
  </sheetData>
  <sheetProtection password="D8FF" sheet="1" objects="1" scenarios="1"/>
  <mergeCells count="3">
    <mergeCell ref="D19:E19"/>
    <mergeCell ref="D20:E20"/>
    <mergeCell ref="D21:E21"/>
  </mergeCells>
  <phoneticPr fontId="20" type="noConversion"/>
  <pageMargins left="0.5" right="0.5" top="0.5" bottom="0.5" header="0.5" footer="0.5"/>
  <pageSetup scale="7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S701"/>
  <sheetViews>
    <sheetView zoomScale="90" zoomScaleNormal="90" workbookViewId="0">
      <selection activeCell="B73" sqref="B73"/>
    </sheetView>
  </sheetViews>
  <sheetFormatPr defaultRowHeight="15"/>
  <cols>
    <col min="1" max="1" width="16.44140625" bestFit="1" customWidth="1"/>
    <col min="9" max="9" width="17" bestFit="1" customWidth="1"/>
  </cols>
  <sheetData>
    <row r="1" spans="1:7" ht="15.75">
      <c r="B1" s="1">
        <v>1</v>
      </c>
      <c r="G1" t="str">
        <f>'Mix Info'!B49</f>
        <v>E</v>
      </c>
    </row>
    <row r="2" spans="1:7">
      <c r="A2" s="2" t="s">
        <v>20</v>
      </c>
      <c r="B2" s="3" t="str">
        <f>IF('Mix Info'!B3="","",'Mix Info'!B3)</f>
        <v/>
      </c>
      <c r="G2">
        <f>IF(G1="E",PRODUCT(62.4*27),IF(G1="M","1000",0))</f>
        <v>1684.8</v>
      </c>
    </row>
    <row r="3" spans="1:7">
      <c r="A3" s="2" t="s">
        <v>21</v>
      </c>
      <c r="B3" s="4" t="str">
        <f>IF(' Form E820150'!I7="","",(' Form E820150'!I7))</f>
        <v/>
      </c>
    </row>
    <row r="4" spans="1:7">
      <c r="A4" s="2" t="s">
        <v>22</v>
      </c>
      <c r="B4" s="24" t="str">
        <f>IF(' Form E820150'!I9="","",(' Form E820150'!I9))</f>
        <v/>
      </c>
    </row>
    <row r="5" spans="1:7">
      <c r="A5" s="2" t="s">
        <v>23</v>
      </c>
      <c r="B5" s="3" t="str">
        <f>IF(' Form E820150'!B11="","",' Form E820150'!B11)</f>
        <v/>
      </c>
    </row>
    <row r="6" spans="1:7">
      <c r="A6" s="2" t="s">
        <v>24</v>
      </c>
      <c r="B6" s="14" t="str">
        <f>IF(' Form E820150'!I11="","",' Form E820150'!I11)</f>
        <v/>
      </c>
    </row>
    <row r="7" spans="1:7">
      <c r="A7" s="2" t="s">
        <v>82</v>
      </c>
      <c r="B7" s="3" t="str">
        <f>IF(' Form E820150'!B13="","",' Form E820150'!B13)</f>
        <v/>
      </c>
    </row>
    <row r="8" spans="1:7">
      <c r="A8" s="2" t="s">
        <v>83</v>
      </c>
      <c r="B8" s="14" t="str">
        <f>IF(' Form E820150'!I13="","",' Form E820150'!I13)</f>
        <v/>
      </c>
    </row>
    <row r="9" spans="1:7">
      <c r="A9" s="2" t="s">
        <v>25</v>
      </c>
      <c r="B9" s="15" t="str">
        <f>IF(' Form E820150'!I21="","",' Form E820150'!I21)</f>
        <v/>
      </c>
    </row>
    <row r="10" spans="1:7">
      <c r="A10" s="2" t="s">
        <v>89</v>
      </c>
      <c r="B10" s="15" t="str">
        <f>IF(' Form E820150'!I22="","",' Form E820150'!I22)</f>
        <v/>
      </c>
    </row>
    <row r="11" spans="1:7">
      <c r="A11" s="2" t="s">
        <v>26</v>
      </c>
      <c r="B11" s="15" t="str">
        <f>IF(' Form E820150'!I23="","",' Form E820150'!I23)</f>
        <v/>
      </c>
    </row>
    <row r="12" spans="1:7">
      <c r="A12" s="6"/>
    </row>
    <row r="13" spans="1:7">
      <c r="A13" s="5" t="s">
        <v>27</v>
      </c>
      <c r="B13" s="16" t="str">
        <f>IF(B4="","",VLOOKUP(B2,$B$44:$H$100,2))</f>
        <v/>
      </c>
    </row>
    <row r="14" spans="1:7">
      <c r="A14" s="7" t="s">
        <v>28</v>
      </c>
      <c r="B14" s="17" t="str">
        <f>IF(B4="","",ROUND(((B34/(B4*$G$2))),3))</f>
        <v/>
      </c>
    </row>
    <row r="15" spans="1:7">
      <c r="A15" s="7" t="s">
        <v>29</v>
      </c>
      <c r="B15" s="16" t="str">
        <f>IF(B5=0,"",IF(B5="","",ROUND((B35/(B6*$G$2)),3)))</f>
        <v/>
      </c>
    </row>
    <row r="16" spans="1:7">
      <c r="A16" s="7" t="s">
        <v>84</v>
      </c>
      <c r="B16" s="16" t="str">
        <f>IF(B7="","",IF(B7=0,"",ROUND((B36/(B8*$G$2)),3)))</f>
        <v/>
      </c>
    </row>
    <row r="17" spans="1:19">
      <c r="A17" s="7" t="s">
        <v>30</v>
      </c>
      <c r="B17" s="16" t="str">
        <f>IF(B37="","",(B37/$G$2))</f>
        <v/>
      </c>
    </row>
    <row r="18" spans="1:19">
      <c r="A18" s="7" t="s">
        <v>31</v>
      </c>
      <c r="B18" s="510">
        <f>IF('Mix Info'!B3="X-2",0,(IF('Mix Info'!B3="X-3",0,(IF('Mix Info'!B3="X-4",0,0.06)))))</f>
        <v>0.06</v>
      </c>
      <c r="C18" s="117"/>
    </row>
    <row r="19" spans="1:19">
      <c r="A19" s="5" t="s">
        <v>32</v>
      </c>
      <c r="B19" s="16" t="str">
        <f>IF(B17="","",SUM(B14:B18))</f>
        <v/>
      </c>
    </row>
    <row r="20" spans="1:19">
      <c r="A20" s="5" t="s">
        <v>33</v>
      </c>
      <c r="B20" s="16" t="str">
        <f>IF(B19="","",ROUND((B21-B19),3))</f>
        <v/>
      </c>
    </row>
    <row r="21" spans="1:19">
      <c r="A21" s="5" t="s">
        <v>5</v>
      </c>
      <c r="B21" s="18">
        <v>1</v>
      </c>
    </row>
    <row r="22" spans="1:19">
      <c r="A22" s="8" t="s">
        <v>34</v>
      </c>
      <c r="B22" s="9">
        <f>IF(B20="",0,VLOOKUP(B$2,$B44:$H100,3))</f>
        <v>0</v>
      </c>
      <c r="R22" s="2" t="s">
        <v>34</v>
      </c>
      <c r="S22" s="9">
        <f>IF(B20="",0, IF('QMC Mix Adjustment Form'!H21="",0,'QMC Mix Adjustment Form'!H21))</f>
        <v>0</v>
      </c>
    </row>
    <row r="23" spans="1:19">
      <c r="A23" s="8" t="s">
        <v>87</v>
      </c>
      <c r="B23" s="9">
        <f>IF(B19="",0,VLOOKUP(B$2,$B44:$H100,7))</f>
        <v>0</v>
      </c>
      <c r="R23" s="2" t="s">
        <v>87</v>
      </c>
      <c r="S23" s="9">
        <f>IF(B20="",0, IF('QMC Mix Adjustment Form'!H22="",0,'QMC Mix Adjustment Form'!H22))</f>
        <v>0</v>
      </c>
    </row>
    <row r="24" spans="1:19">
      <c r="A24" s="8" t="s">
        <v>35</v>
      </c>
      <c r="B24" s="9">
        <f>IF(B20="",0,VLOOKUP(B$2,$B44:$H100,4))</f>
        <v>0</v>
      </c>
      <c r="G24" s="680" t="s">
        <v>2027</v>
      </c>
      <c r="H24" s="680"/>
      <c r="I24" s="524">
        <f>'Mix Info'!F15</f>
        <v>0</v>
      </c>
      <c r="R24" s="2" t="s">
        <v>35</v>
      </c>
      <c r="S24" s="9">
        <f>IF(B20="",0, IF('QMC Mix Adjustment Form'!H23="",0,'QMC Mix Adjustment Form'!H23))</f>
        <v>0</v>
      </c>
    </row>
    <row r="25" spans="1:19">
      <c r="A25" s="5" t="s">
        <v>36</v>
      </c>
      <c r="B25" s="16">
        <f>IF(B20="",0,ROUND(((B20)*(B22/100)),3))</f>
        <v>0</v>
      </c>
      <c r="I25" s="70">
        <f>IF(I24=0,0,B33-B34-B35-B36)</f>
        <v>0</v>
      </c>
      <c r="R25" s="2" t="s">
        <v>36</v>
      </c>
      <c r="S25" s="16">
        <f>IF(B20="",0,ROUND(((B20)*(S22/100)),3))</f>
        <v>0</v>
      </c>
    </row>
    <row r="26" spans="1:19">
      <c r="A26" s="5" t="s">
        <v>88</v>
      </c>
      <c r="B26" s="16">
        <f>IF(B23=0,0,IF(B23="",0,IF(B23="","",ROUND(((B20)*(B23/100)),3))))</f>
        <v>0</v>
      </c>
      <c r="I26" s="70"/>
      <c r="R26" s="2" t="s">
        <v>88</v>
      </c>
      <c r="S26" s="16">
        <f>IF(S23=0,0,IF(S23="",0,IF(S23="","",ROUND(((B20)*(S23/100)),3))))</f>
        <v>0</v>
      </c>
    </row>
    <row r="27" spans="1:19">
      <c r="A27" s="5" t="s">
        <v>37</v>
      </c>
      <c r="B27" s="16">
        <f>IF(B20="",0,ROUND(((B20)*(B24/100)),3))</f>
        <v>0</v>
      </c>
      <c r="R27" s="2" t="s">
        <v>37</v>
      </c>
      <c r="S27" s="16">
        <f>IF(B20="",0,ROUND(((B20)*(S24/100)),3))</f>
        <v>0</v>
      </c>
    </row>
    <row r="28" spans="1:19" ht="15.75" customHeight="1">
      <c r="A28" s="5" t="s">
        <v>38</v>
      </c>
      <c r="B28" s="16">
        <f>IF(B27="","",SUM(B25:B27))</f>
        <v>0</v>
      </c>
      <c r="R28" s="2" t="s">
        <v>38</v>
      </c>
      <c r="S28" s="16">
        <f>IF(S27="","",SUM(S25:S27))</f>
        <v>0</v>
      </c>
    </row>
    <row r="29" spans="1:19">
      <c r="A29" s="6" t="s">
        <v>39</v>
      </c>
      <c r="B29" s="18">
        <f>IF(B25=0,0,ROUND((B20-B26-B27),3))</f>
        <v>0</v>
      </c>
      <c r="H29" s="534"/>
      <c r="I29" s="125">
        <f>IF(B3="",0, IF(B3&lt;&gt;"", VLOOKUP(B3,CEMENT!G4:I25, 2,FALSE),0))</f>
        <v>0</v>
      </c>
      <c r="R29" s="36" t="s">
        <v>39</v>
      </c>
      <c r="S29" s="18">
        <f>IF(S25=0,0,ROUND((B20-S26-S27),3))</f>
        <v>0</v>
      </c>
    </row>
    <row r="30" spans="1:19">
      <c r="A30" s="6" t="s">
        <v>86</v>
      </c>
      <c r="B30" s="18">
        <f>IF(B23=0,0,IF(B23="","",ROUND((B28-B27-B25),3)))</f>
        <v>0</v>
      </c>
      <c r="R30" s="36" t="s">
        <v>86</v>
      </c>
      <c r="S30" s="18">
        <f>IF(S23=0,0,IF(S23="","",ROUND((S28-S27-S25),3)))</f>
        <v>0</v>
      </c>
    </row>
    <row r="31" spans="1:19">
      <c r="A31" s="10" t="s">
        <v>40</v>
      </c>
      <c r="B31" s="19">
        <f>IF(B27="",0,ROUND((B28-B25-B26),3))</f>
        <v>0</v>
      </c>
      <c r="R31" s="643" t="s">
        <v>40</v>
      </c>
      <c r="S31" s="19">
        <f>IF(S27="",0,ROUND((S28-S25-S26),3))</f>
        <v>0</v>
      </c>
    </row>
    <row r="33" spans="1:19">
      <c r="A33" s="7" t="s">
        <v>3</v>
      </c>
      <c r="B33" s="20">
        <f>IF(B13="",0,ROUND((B13*B4*$G$2),0))</f>
        <v>0</v>
      </c>
      <c r="C33">
        <f>IF($B$3="IS(20)",($B$33*0.8),IF($B3="IS(25)",$B$33*0.75,IF($B3="IP(25)",$B$33*0.75,IF($B3="IL(10)",$B$33*0.9,$B$33))))</f>
        <v>0</v>
      </c>
      <c r="D33">
        <f>IF($B$3="IS(20)",($B$33-$C$33),IF($B3="IS(25)",($B$33-$C$33),IF($B3="IP(25)",($B$33-$C$33),IF($B3="IL(10)",($B$33-$C$33),0))))</f>
        <v>0</v>
      </c>
      <c r="H33" s="173">
        <f>IF(B3="",0, IF(B3&lt;&gt;"", (B33*H34),B33))</f>
        <v>0</v>
      </c>
      <c r="I33" s="535">
        <f>IF(B3="",0, IF(B3&lt;&gt;"", (B33-H33),0))</f>
        <v>0</v>
      </c>
      <c r="R33" s="2" t="s">
        <v>43</v>
      </c>
      <c r="S33" s="20" t="str">
        <f>IF('QMC Mix Adjustment Form'!H24="","", IF(B9="", 0,IF(S25=0,0,ROUND((S29*B9*$G$2),0))))</f>
        <v/>
      </c>
    </row>
    <row r="34" spans="1:19">
      <c r="A34" s="5" t="s">
        <v>41</v>
      </c>
      <c r="B34" s="20" t="str">
        <f>IF(B4="","", (B33-B35-B36)*(1-I24/100))</f>
        <v/>
      </c>
      <c r="C34" s="125">
        <f>IF($B$3="IS(20)",0.8,IF($B$3="IS(25)",0.75,IF($B$3="IP(25)",0.75,IF($B$3="IL(10)",0.9,1))))</f>
        <v>1</v>
      </c>
      <c r="H34" s="536">
        <f>IF(B3="",0, IF(B3&lt;&gt;"", VLOOKUP(B3,CEMENT!G4:I25,3,FALSE),0))</f>
        <v>0</v>
      </c>
      <c r="R34" s="2" t="s">
        <v>85</v>
      </c>
      <c r="S34" s="20" t="str">
        <f>IF('QMC Mix Adjustment Form'!H24="","", IF(B10="",0,ROUND((S30*B10*$G$2),0)))</f>
        <v/>
      </c>
    </row>
    <row r="35" spans="1:19">
      <c r="A35" s="5" t="s">
        <v>4</v>
      </c>
      <c r="B35" s="20">
        <f>IF(B5="",0,ROUND(((B33)*(B5/100)),0))</f>
        <v>0</v>
      </c>
      <c r="C35" t="e">
        <f>$B$34*$C$34</f>
        <v>#VALUE!</v>
      </c>
      <c r="D35">
        <f>IF($B$3="IS(20)",($B$34*0.2),IF($B$3="IS(25)",($B$34*0.25),IF($B$3="IP(25)",($B$34*0.25),IF($B$3="IL(10)",($B$34*0.1),IF($B$3="IS(38)",($B$34*0.38),0)))))</f>
        <v>0</v>
      </c>
      <c r="E35">
        <f>$B$35+$B$36</f>
        <v>0</v>
      </c>
      <c r="F35" t="e">
        <f>C35+D35+E35</f>
        <v>#VALUE!</v>
      </c>
      <c r="G35" t="e">
        <f>((D35+E35)/B33)*100</f>
        <v>#DIV/0!</v>
      </c>
      <c r="H35" s="537">
        <f>IF(B33=0,0, B34*H34)</f>
        <v>0</v>
      </c>
      <c r="I35" s="538">
        <f>IF(B3="",0, IF(B3&lt;&gt;"", (B34*I29),0))</f>
        <v>0</v>
      </c>
      <c r="J35" s="539">
        <f>B35+B36</f>
        <v>0</v>
      </c>
      <c r="K35" s="176">
        <f>IF(B33=0,0, H35+I35+J35)</f>
        <v>0</v>
      </c>
      <c r="L35" s="586">
        <f>IF(B33=0,0, ROUND(((I35+J35)/K35)*100,1))</f>
        <v>0</v>
      </c>
      <c r="R35" s="2" t="s">
        <v>44</v>
      </c>
      <c r="S35" s="20" t="str">
        <f>IF('QMC Mix Adjustment Form'!H24="","", IF(B11="",0, IF(B2="FM", 0,IF(S27=0,0,ROUND((S31*B11*$G$2),0)))))</f>
        <v/>
      </c>
    </row>
    <row r="36" spans="1:19">
      <c r="A36" s="5" t="s">
        <v>7</v>
      </c>
      <c r="B36" s="20">
        <f>IF(B$7="",0,ROUND((B$7/100)*(B$33),0))</f>
        <v>0</v>
      </c>
    </row>
    <row r="37" spans="1:19">
      <c r="A37" s="5" t="s">
        <v>42</v>
      </c>
      <c r="B37" s="21" t="str">
        <f>IF(B34="","",IF('Mix Info'!B47&gt;0,'Mix Info'!B47*K35,(VLOOKUP(B2,$B$44:$H$100,5,FALSE)*(K35))))</f>
        <v/>
      </c>
      <c r="C37" s="37" t="str">
        <f>IF(B34="","",IF('Mix Info'!B47&gt;0,'Mix Info'!B47,ROUND((VLOOKUP(B2,$B$44:$H$100,5,FALSE)),3)))</f>
        <v/>
      </c>
      <c r="D37" s="37" t="str">
        <f>IF(B34="","",ROUND((VLOOKUP(B2,$B$44:$H$100,6,FALSE)),3))</f>
        <v/>
      </c>
    </row>
    <row r="38" spans="1:19">
      <c r="A38" s="5" t="s">
        <v>43</v>
      </c>
      <c r="B38" s="20">
        <f>IF('QMC Gradation'!B15="","", IF(B9="", 0,IF(B25=0,0,ROUND((B29*B9*$G$2),0))))</f>
        <v>0</v>
      </c>
      <c r="C38" s="35">
        <f>IF('Mix Info'!B23="","",'Mix Info'!B23)</f>
        <v>0</v>
      </c>
    </row>
    <row r="39" spans="1:19">
      <c r="A39" s="5" t="s">
        <v>85</v>
      </c>
      <c r="B39" s="20">
        <f>IF('QMC Gradation'!B15="","", IF(B10="",0,ROUND((B30*B10*$G$2),0)))</f>
        <v>0</v>
      </c>
      <c r="C39" s="35" t="str">
        <f>IF('Mix Info'!B47="","",'Mix Info'!B47)</f>
        <v/>
      </c>
    </row>
    <row r="40" spans="1:19">
      <c r="A40" s="5" t="s">
        <v>44</v>
      </c>
      <c r="B40" s="20">
        <f>IF('QMC Gradation'!B15="","", IF(B11="",0, IF(B2="FM", 0,IF(B27=0,0,ROUND((B31*B11*$G$2),0)))))</f>
        <v>0</v>
      </c>
      <c r="C40" s="35"/>
    </row>
    <row r="41" spans="1:19">
      <c r="A41" s="6"/>
      <c r="B41" s="6"/>
      <c r="C41" s="6"/>
      <c r="D41" s="36"/>
      <c r="E41" s="36"/>
      <c r="F41" s="11"/>
      <c r="G41" s="6"/>
    </row>
    <row r="42" spans="1:19">
      <c r="A42" s="6"/>
      <c r="C42" s="12" t="s">
        <v>45</v>
      </c>
      <c r="D42" s="12" t="s">
        <v>46</v>
      </c>
      <c r="E42" s="12" t="s">
        <v>47</v>
      </c>
      <c r="F42" s="12" t="s">
        <v>48</v>
      </c>
      <c r="G42" s="12" t="s">
        <v>49</v>
      </c>
      <c r="H42" s="12" t="s">
        <v>242</v>
      </c>
    </row>
    <row r="43" spans="1:19">
      <c r="A43" s="6"/>
      <c r="B43" s="7">
        <v>1</v>
      </c>
      <c r="C43" s="7">
        <v>2</v>
      </c>
      <c r="D43" s="7">
        <v>3</v>
      </c>
      <c r="E43" s="7">
        <v>4</v>
      </c>
      <c r="F43" s="7">
        <v>5</v>
      </c>
      <c r="G43" s="7">
        <v>6</v>
      </c>
      <c r="H43" s="7">
        <v>7</v>
      </c>
    </row>
    <row r="44" spans="1:19">
      <c r="A44" s="22" t="s">
        <v>50</v>
      </c>
      <c r="B44" s="22" t="s">
        <v>50</v>
      </c>
      <c r="C44" s="13">
        <v>0.10100000000000001</v>
      </c>
      <c r="D44" s="7">
        <v>40</v>
      </c>
      <c r="E44" s="7">
        <v>60</v>
      </c>
      <c r="F44" s="13">
        <v>0.47400000000000003</v>
      </c>
      <c r="G44" s="13">
        <v>0.53200000000000003</v>
      </c>
      <c r="H44" s="13">
        <v>0</v>
      </c>
    </row>
    <row r="45" spans="1:19">
      <c r="A45" s="22" t="s">
        <v>51</v>
      </c>
      <c r="B45" s="22" t="s">
        <v>51</v>
      </c>
      <c r="C45" s="13">
        <v>0.10400000000000001</v>
      </c>
      <c r="D45" s="7">
        <v>45</v>
      </c>
      <c r="E45" s="7">
        <v>55</v>
      </c>
      <c r="F45" s="13">
        <v>0.47400000000000003</v>
      </c>
      <c r="G45" s="13">
        <v>0.53200000000000003</v>
      </c>
      <c r="H45" s="13">
        <v>0</v>
      </c>
    </row>
    <row r="46" spans="1:19">
      <c r="A46" s="22" t="s">
        <v>52</v>
      </c>
      <c r="B46" s="22" t="s">
        <v>52</v>
      </c>
      <c r="C46" s="13">
        <v>0.108</v>
      </c>
      <c r="D46" s="7">
        <v>50</v>
      </c>
      <c r="E46" s="7">
        <v>50</v>
      </c>
      <c r="F46" s="13">
        <v>0.47400000000000003</v>
      </c>
      <c r="G46" s="13">
        <v>0.53200000000000003</v>
      </c>
      <c r="H46" s="13">
        <v>0</v>
      </c>
    </row>
    <row r="47" spans="1:19">
      <c r="A47" s="22" t="s">
        <v>53</v>
      </c>
      <c r="B47" s="22" t="s">
        <v>53</v>
      </c>
      <c r="C47" s="13">
        <v>0.111</v>
      </c>
      <c r="D47" s="7">
        <v>55</v>
      </c>
      <c r="E47" s="7">
        <v>45</v>
      </c>
      <c r="F47" s="13">
        <v>0.47400000000000003</v>
      </c>
      <c r="G47" s="13">
        <v>0.53200000000000003</v>
      </c>
      <c r="H47" s="13">
        <v>0</v>
      </c>
    </row>
    <row r="48" spans="1:19" ht="16.5" customHeight="1">
      <c r="A48" s="22" t="s">
        <v>54</v>
      </c>
      <c r="B48" s="22" t="s">
        <v>54</v>
      </c>
      <c r="C48" s="13">
        <v>0.115</v>
      </c>
      <c r="D48" s="7">
        <v>60</v>
      </c>
      <c r="E48" s="7">
        <v>40</v>
      </c>
      <c r="F48" s="13">
        <v>0.47400000000000003</v>
      </c>
      <c r="G48" s="13">
        <v>0.53200000000000003</v>
      </c>
      <c r="H48" s="13">
        <v>0</v>
      </c>
    </row>
    <row r="49" spans="1:8">
      <c r="A49" s="22" t="s">
        <v>76</v>
      </c>
      <c r="B49" s="22" t="s">
        <v>76</v>
      </c>
      <c r="C49" s="13">
        <v>0.13500000000000001</v>
      </c>
      <c r="D49" s="7">
        <v>95</v>
      </c>
      <c r="E49" s="7">
        <v>5</v>
      </c>
      <c r="F49" s="13">
        <v>0.44400000000000001</v>
      </c>
      <c r="G49" s="13">
        <v>0.46700000000000003</v>
      </c>
      <c r="H49" s="13">
        <v>0</v>
      </c>
    </row>
    <row r="50" spans="1:8">
      <c r="A50" s="22" t="s">
        <v>74</v>
      </c>
      <c r="B50" s="22" t="s">
        <v>74</v>
      </c>
      <c r="C50" s="13">
        <v>0.107</v>
      </c>
      <c r="D50" s="7">
        <v>70</v>
      </c>
      <c r="E50" s="7">
        <v>30</v>
      </c>
      <c r="F50" s="13">
        <v>0.44</v>
      </c>
      <c r="G50" s="13">
        <v>0.56000000000000005</v>
      </c>
      <c r="H50" s="13">
        <v>0</v>
      </c>
    </row>
    <row r="51" spans="1:8">
      <c r="A51" s="22" t="s">
        <v>55</v>
      </c>
      <c r="B51" s="22" t="s">
        <v>55</v>
      </c>
      <c r="C51" s="13">
        <v>8.7999999999999995E-2</v>
      </c>
      <c r="D51" s="7">
        <v>40</v>
      </c>
      <c r="E51" s="7">
        <v>60</v>
      </c>
      <c r="F51" s="13">
        <v>0.53600000000000003</v>
      </c>
      <c r="G51" s="13">
        <v>0.6</v>
      </c>
      <c r="H51" s="13">
        <v>0</v>
      </c>
    </row>
    <row r="52" spans="1:8">
      <c r="A52" s="22" t="s">
        <v>56</v>
      </c>
      <c r="B52" s="22" t="s">
        <v>56</v>
      </c>
      <c r="C52" s="13">
        <v>9.0999999999999998E-2</v>
      </c>
      <c r="D52" s="7">
        <v>45</v>
      </c>
      <c r="E52" s="7">
        <v>55</v>
      </c>
      <c r="F52" s="13">
        <v>0.53600000000000003</v>
      </c>
      <c r="G52" s="13">
        <v>0.6</v>
      </c>
      <c r="H52" s="13">
        <v>0</v>
      </c>
    </row>
    <row r="53" spans="1:8">
      <c r="A53" s="22" t="s">
        <v>57</v>
      </c>
      <c r="B53" s="22" t="s">
        <v>57</v>
      </c>
      <c r="C53" s="13">
        <v>9.2999999999999999E-2</v>
      </c>
      <c r="D53" s="7">
        <v>50</v>
      </c>
      <c r="E53" s="7">
        <v>50</v>
      </c>
      <c r="F53" s="13">
        <v>0.53600000000000003</v>
      </c>
      <c r="G53" s="13">
        <v>0.6</v>
      </c>
      <c r="H53" s="13">
        <v>0</v>
      </c>
    </row>
    <row r="54" spans="1:8">
      <c r="A54" s="22" t="s">
        <v>58</v>
      </c>
      <c r="B54" s="22" t="s">
        <v>58</v>
      </c>
      <c r="C54" s="13">
        <v>9.6000000000000002E-2</v>
      </c>
      <c r="D54" s="7">
        <v>55</v>
      </c>
      <c r="E54" s="7">
        <v>45</v>
      </c>
      <c r="F54" s="13">
        <v>0.53600000000000003</v>
      </c>
      <c r="G54" s="13">
        <v>0.6</v>
      </c>
      <c r="H54" s="13">
        <v>0</v>
      </c>
    </row>
    <row r="55" spans="1:8">
      <c r="A55" s="22" t="s">
        <v>59</v>
      </c>
      <c r="B55" s="22" t="s">
        <v>59</v>
      </c>
      <c r="C55" s="13">
        <v>9.9000000000000005E-2</v>
      </c>
      <c r="D55" s="7">
        <v>60</v>
      </c>
      <c r="E55" s="7">
        <v>40</v>
      </c>
      <c r="F55" s="13">
        <v>0.53600000000000003</v>
      </c>
      <c r="G55" s="13">
        <v>0.6</v>
      </c>
      <c r="H55" s="13">
        <v>0</v>
      </c>
    </row>
    <row r="56" spans="1:8">
      <c r="A56" s="22" t="s">
        <v>60</v>
      </c>
      <c r="B56" s="22" t="s">
        <v>60</v>
      </c>
      <c r="C56" s="13">
        <v>0.10200000000000001</v>
      </c>
      <c r="D56" s="7">
        <v>65</v>
      </c>
      <c r="E56" s="7">
        <v>35</v>
      </c>
      <c r="F56" s="13">
        <v>0.53600000000000003</v>
      </c>
      <c r="G56" s="13">
        <v>0.6</v>
      </c>
      <c r="H56" s="13">
        <v>0</v>
      </c>
    </row>
    <row r="57" spans="1:8">
      <c r="A57" s="22" t="s">
        <v>61</v>
      </c>
      <c r="B57" s="22" t="s">
        <v>61</v>
      </c>
      <c r="C57" s="13">
        <v>0.105</v>
      </c>
      <c r="D57" s="7">
        <v>70</v>
      </c>
      <c r="E57" s="7">
        <v>30</v>
      </c>
      <c r="F57" s="13">
        <v>0.53600000000000003</v>
      </c>
      <c r="G57" s="13">
        <v>0.6</v>
      </c>
      <c r="H57" s="13">
        <v>0</v>
      </c>
    </row>
    <row r="58" spans="1:8">
      <c r="A58" s="135" t="s">
        <v>90</v>
      </c>
      <c r="B58" s="135" t="s">
        <v>90</v>
      </c>
      <c r="C58" s="136">
        <v>0.114</v>
      </c>
      <c r="D58" s="134">
        <f>'Mix Info'!$F$8</f>
        <v>0</v>
      </c>
      <c r="E58" s="134">
        <f>'Mix Info'!$F$6</f>
        <v>0</v>
      </c>
      <c r="F58" s="137">
        <v>0.4</v>
      </c>
      <c r="G58" s="137">
        <v>0.45</v>
      </c>
      <c r="H58" s="138">
        <f>'Mix Info'!$F$7</f>
        <v>0</v>
      </c>
    </row>
    <row r="59" spans="1:8">
      <c r="A59" s="22" t="s">
        <v>77</v>
      </c>
      <c r="B59" s="22" t="s">
        <v>77</v>
      </c>
      <c r="C59" s="13">
        <v>0.13500000000000001</v>
      </c>
      <c r="D59" s="7">
        <v>95</v>
      </c>
      <c r="E59" s="7">
        <v>5</v>
      </c>
      <c r="F59" s="13">
        <v>0.44400000000000001</v>
      </c>
      <c r="G59" s="13">
        <v>0.46700000000000003</v>
      </c>
      <c r="H59" s="13">
        <v>0</v>
      </c>
    </row>
    <row r="60" spans="1:8">
      <c r="A60" s="22" t="s">
        <v>75</v>
      </c>
      <c r="B60" s="22" t="s">
        <v>75</v>
      </c>
      <c r="C60" s="13">
        <v>9.8000000000000004E-2</v>
      </c>
      <c r="D60" s="7">
        <v>70</v>
      </c>
      <c r="E60" s="7">
        <v>30</v>
      </c>
      <c r="F60" s="13">
        <v>0.52</v>
      </c>
      <c r="G60" s="13">
        <v>0.59699999999999998</v>
      </c>
      <c r="H60" s="13">
        <v>0</v>
      </c>
    </row>
    <row r="61" spans="1:8">
      <c r="A61" s="22" t="s">
        <v>62</v>
      </c>
      <c r="B61" s="22" t="s">
        <v>62</v>
      </c>
      <c r="C61" s="13">
        <v>0.11</v>
      </c>
      <c r="D61" s="7">
        <v>40</v>
      </c>
      <c r="E61" s="7">
        <v>60</v>
      </c>
      <c r="F61" s="13">
        <v>0.43</v>
      </c>
      <c r="G61" s="13">
        <v>0.48799999999999999</v>
      </c>
      <c r="H61" s="13">
        <v>0</v>
      </c>
    </row>
    <row r="62" spans="1:8">
      <c r="A62" s="22" t="s">
        <v>63</v>
      </c>
      <c r="B62" s="22" t="s">
        <v>63</v>
      </c>
      <c r="C62" s="13">
        <v>0.114</v>
      </c>
      <c r="D62" s="7">
        <v>45</v>
      </c>
      <c r="E62" s="7">
        <v>55</v>
      </c>
      <c r="F62" s="13">
        <v>0.43</v>
      </c>
      <c r="G62" s="13">
        <v>0.48799999999999999</v>
      </c>
      <c r="H62" s="13">
        <v>0</v>
      </c>
    </row>
    <row r="63" spans="1:8">
      <c r="A63" s="22" t="s">
        <v>66</v>
      </c>
      <c r="B63" s="22" t="s">
        <v>66</v>
      </c>
      <c r="C63" s="13">
        <v>0.108</v>
      </c>
      <c r="D63" s="7">
        <v>45</v>
      </c>
      <c r="E63" s="7">
        <v>55</v>
      </c>
      <c r="F63" s="13">
        <v>0.43</v>
      </c>
      <c r="G63" s="13">
        <v>0.45</v>
      </c>
      <c r="H63" s="13">
        <v>0</v>
      </c>
    </row>
    <row r="64" spans="1:8">
      <c r="A64" s="22" t="s">
        <v>18</v>
      </c>
      <c r="B64" s="22" t="s">
        <v>18</v>
      </c>
      <c r="C64" s="13">
        <v>0.11800000000000001</v>
      </c>
      <c r="D64" s="7">
        <v>50</v>
      </c>
      <c r="E64" s="7">
        <v>50</v>
      </c>
      <c r="F64" s="13">
        <v>0.43</v>
      </c>
      <c r="G64" s="13">
        <v>0.48799999999999999</v>
      </c>
      <c r="H64" s="13">
        <v>0</v>
      </c>
    </row>
    <row r="65" spans="1:8">
      <c r="A65" s="22" t="s">
        <v>67</v>
      </c>
      <c r="B65" s="22" t="s">
        <v>67</v>
      </c>
      <c r="C65" s="13">
        <v>0.112</v>
      </c>
      <c r="D65" s="7">
        <v>50</v>
      </c>
      <c r="E65" s="7">
        <v>50</v>
      </c>
      <c r="F65" s="13">
        <v>0.43</v>
      </c>
      <c r="G65" s="13">
        <v>0.45</v>
      </c>
      <c r="H65" s="13">
        <v>0</v>
      </c>
    </row>
    <row r="66" spans="1:8">
      <c r="A66" s="22" t="s">
        <v>64</v>
      </c>
      <c r="B66" s="22" t="s">
        <v>64</v>
      </c>
      <c r="C66" s="13">
        <v>0.123</v>
      </c>
      <c r="D66" s="7">
        <v>55</v>
      </c>
      <c r="E66" s="7">
        <v>45</v>
      </c>
      <c r="F66" s="13">
        <v>0.43</v>
      </c>
      <c r="G66" s="13">
        <v>0.48799999999999999</v>
      </c>
      <c r="H66" s="13">
        <v>0</v>
      </c>
    </row>
    <row r="67" spans="1:8">
      <c r="A67" s="22" t="s">
        <v>68</v>
      </c>
      <c r="B67" s="22" t="s">
        <v>68</v>
      </c>
      <c r="C67" s="13">
        <v>0.11700000000000001</v>
      </c>
      <c r="D67" s="7">
        <v>55</v>
      </c>
      <c r="E67" s="7">
        <v>45</v>
      </c>
      <c r="F67" s="13">
        <v>0.43</v>
      </c>
      <c r="G67" s="13">
        <v>0.45</v>
      </c>
      <c r="H67" s="13">
        <v>0</v>
      </c>
    </row>
    <row r="68" spans="1:8">
      <c r="A68" s="22" t="s">
        <v>65</v>
      </c>
      <c r="B68" s="22" t="s">
        <v>65</v>
      </c>
      <c r="C68" s="13">
        <v>0.128</v>
      </c>
      <c r="D68" s="7">
        <v>60</v>
      </c>
      <c r="E68" s="7">
        <v>40</v>
      </c>
      <c r="F68" s="13">
        <v>0.43</v>
      </c>
      <c r="G68" s="13">
        <v>0.48799999999999999</v>
      </c>
      <c r="H68" s="13">
        <v>0</v>
      </c>
    </row>
    <row r="69" spans="1:8">
      <c r="A69" s="22" t="s">
        <v>69</v>
      </c>
      <c r="B69" s="22" t="s">
        <v>69</v>
      </c>
      <c r="C69" s="13">
        <v>0.121</v>
      </c>
      <c r="D69" s="7">
        <v>60</v>
      </c>
      <c r="E69" s="7">
        <v>40</v>
      </c>
      <c r="F69" s="13">
        <v>0.43</v>
      </c>
      <c r="G69" s="13">
        <v>0.45</v>
      </c>
      <c r="H69" s="13">
        <v>0</v>
      </c>
    </row>
    <row r="70" spans="1:8">
      <c r="A70" s="115" t="s">
        <v>243</v>
      </c>
      <c r="B70" s="115" t="s">
        <v>243</v>
      </c>
      <c r="C70" s="139">
        <f>'Mix Info'!$I$5</f>
        <v>0.13300000000000001</v>
      </c>
      <c r="D70" s="134">
        <f>'Mix Info'!$F$8</f>
        <v>0</v>
      </c>
      <c r="E70" s="134">
        <f>'Mix Info'!$F$6</f>
        <v>0</v>
      </c>
      <c r="F70" s="138">
        <f>'Mix Info'!$I$6</f>
        <v>0.4</v>
      </c>
      <c r="G70" s="138">
        <f>'Mix Info'!I7</f>
        <v>0.45</v>
      </c>
      <c r="H70" s="138">
        <f>'Mix Info'!$F$7</f>
        <v>0</v>
      </c>
    </row>
    <row r="71" spans="1:8">
      <c r="A71" s="115" t="s">
        <v>240</v>
      </c>
      <c r="B71" s="115" t="s">
        <v>240</v>
      </c>
      <c r="C71" s="116">
        <v>0.106</v>
      </c>
      <c r="D71" s="134">
        <f>'Mix Info'!$F$8</f>
        <v>0</v>
      </c>
      <c r="E71" s="134">
        <f>'Mix Info'!$F$6</f>
        <v>0</v>
      </c>
      <c r="F71" s="116">
        <v>0.4</v>
      </c>
      <c r="G71" s="116">
        <v>0.42</v>
      </c>
      <c r="H71" s="138">
        <f>'Mix Info'!$F$7</f>
        <v>0</v>
      </c>
    </row>
    <row r="72" spans="1:8">
      <c r="A72" s="115" t="s">
        <v>2216</v>
      </c>
      <c r="B72" s="115" t="s">
        <v>2216</v>
      </c>
      <c r="C72" s="609">
        <v>0.113</v>
      </c>
      <c r="D72" s="134">
        <f>'Mix Info'!$F$8</f>
        <v>0</v>
      </c>
      <c r="E72" s="134">
        <f>'Mix Info'!$F$6</f>
        <v>0</v>
      </c>
      <c r="F72" s="116">
        <v>0.4</v>
      </c>
      <c r="G72" s="116">
        <v>0.435</v>
      </c>
      <c r="H72" s="138">
        <f>'Mix Info'!$F$7</f>
        <v>0</v>
      </c>
    </row>
    <row r="73" spans="1:8">
      <c r="A73" s="22" t="s">
        <v>78</v>
      </c>
      <c r="B73" s="22" t="s">
        <v>78</v>
      </c>
      <c r="C73" s="13">
        <v>0.13500000000000001</v>
      </c>
      <c r="D73" s="7">
        <v>95</v>
      </c>
      <c r="E73" s="7">
        <v>5</v>
      </c>
      <c r="F73" s="13">
        <v>0.44400000000000001</v>
      </c>
      <c r="G73" s="13">
        <v>0.46700000000000003</v>
      </c>
      <c r="H73" s="13">
        <v>0</v>
      </c>
    </row>
    <row r="74" spans="1:8">
      <c r="A74" s="22" t="s">
        <v>2030</v>
      </c>
      <c r="B74" s="22" t="s">
        <v>2030</v>
      </c>
      <c r="C74" s="13">
        <v>0.113</v>
      </c>
      <c r="D74" s="7">
        <v>70</v>
      </c>
      <c r="E74" s="7">
        <v>30</v>
      </c>
      <c r="F74" s="13">
        <v>0.43</v>
      </c>
      <c r="G74" s="13">
        <v>0.48799999999999999</v>
      </c>
      <c r="H74" s="13">
        <v>0</v>
      </c>
    </row>
    <row r="75" spans="1:8">
      <c r="A75" s="22" t="s">
        <v>1755</v>
      </c>
      <c r="B75" s="22" t="s">
        <v>1755</v>
      </c>
      <c r="C75" s="13">
        <v>0.113</v>
      </c>
      <c r="D75" s="7">
        <v>70</v>
      </c>
      <c r="E75" s="7">
        <v>30</v>
      </c>
      <c r="F75" s="13">
        <v>0.43</v>
      </c>
      <c r="G75" s="13">
        <v>0.48799999999999999</v>
      </c>
      <c r="H75" s="13">
        <v>0</v>
      </c>
    </row>
    <row r="76" spans="1:8">
      <c r="A76" s="22" t="s">
        <v>177</v>
      </c>
      <c r="B76" s="22" t="s">
        <v>177</v>
      </c>
      <c r="C76" s="13">
        <v>0.123</v>
      </c>
      <c r="D76" s="7">
        <v>55</v>
      </c>
      <c r="E76" s="7">
        <v>45</v>
      </c>
      <c r="F76" s="13">
        <v>0.4</v>
      </c>
      <c r="G76" s="13">
        <v>0.435</v>
      </c>
      <c r="H76" s="13">
        <v>0</v>
      </c>
    </row>
    <row r="77" spans="1:8">
      <c r="A77" s="22" t="s">
        <v>178</v>
      </c>
      <c r="B77" s="22" t="s">
        <v>178</v>
      </c>
      <c r="C77" s="13">
        <v>0.123</v>
      </c>
      <c r="D77" s="7">
        <v>55</v>
      </c>
      <c r="E77" s="7">
        <v>45</v>
      </c>
      <c r="F77" s="13">
        <v>0.42</v>
      </c>
      <c r="G77" s="13">
        <v>0.45</v>
      </c>
      <c r="H77" s="13">
        <v>0</v>
      </c>
    </row>
    <row r="78" spans="1:8">
      <c r="A78" s="22" t="s">
        <v>241</v>
      </c>
      <c r="B78" s="22" t="s">
        <v>241</v>
      </c>
      <c r="C78" s="13">
        <v>0.114</v>
      </c>
      <c r="D78" s="7">
        <v>55</v>
      </c>
      <c r="E78" s="7">
        <v>45</v>
      </c>
      <c r="F78" s="13">
        <v>0.4</v>
      </c>
      <c r="G78" s="13">
        <v>0.42</v>
      </c>
      <c r="H78" s="13">
        <v>0</v>
      </c>
    </row>
    <row r="79" spans="1:8">
      <c r="A79" s="22" t="s">
        <v>70</v>
      </c>
      <c r="B79" s="22" t="s">
        <v>70</v>
      </c>
      <c r="C79" s="13">
        <v>0.13400000000000001</v>
      </c>
      <c r="D79" s="7">
        <v>50</v>
      </c>
      <c r="E79" s="7">
        <v>50</v>
      </c>
      <c r="F79" s="13">
        <v>0.42299999999999999</v>
      </c>
      <c r="G79" s="13">
        <v>0.45</v>
      </c>
      <c r="H79" s="13">
        <v>0</v>
      </c>
    </row>
    <row r="80" spans="1:8">
      <c r="A80" s="22" t="s">
        <v>71</v>
      </c>
      <c r="B80" s="22" t="s">
        <v>71</v>
      </c>
      <c r="C80" s="13">
        <v>0.13400000000000001</v>
      </c>
      <c r="D80" s="7">
        <v>60</v>
      </c>
      <c r="E80" s="7">
        <v>40</v>
      </c>
      <c r="F80" s="13">
        <v>0.42299999999999999</v>
      </c>
      <c r="G80" s="13">
        <v>0.45</v>
      </c>
      <c r="H80" s="13">
        <v>0</v>
      </c>
    </row>
    <row r="81" spans="1:8">
      <c r="A81" s="22" t="s">
        <v>256</v>
      </c>
      <c r="B81" s="22" t="s">
        <v>180</v>
      </c>
      <c r="C81" s="13"/>
      <c r="D81" s="7"/>
      <c r="E81" s="7"/>
      <c r="F81" s="13"/>
      <c r="G81" s="13"/>
      <c r="H81" s="13"/>
    </row>
    <row r="82" spans="1:8">
      <c r="A82" s="22" t="s">
        <v>257</v>
      </c>
      <c r="B82" s="22" t="s">
        <v>180</v>
      </c>
      <c r="C82" s="13"/>
      <c r="D82" s="7"/>
      <c r="E82" s="7"/>
      <c r="F82" s="13"/>
      <c r="G82" s="13"/>
      <c r="H82" s="13"/>
    </row>
    <row r="83" spans="1:8">
      <c r="A83" s="22" t="s">
        <v>244</v>
      </c>
      <c r="B83" s="22" t="s">
        <v>244</v>
      </c>
      <c r="C83" s="13"/>
      <c r="D83" s="7"/>
      <c r="E83" s="7"/>
      <c r="F83" s="13"/>
      <c r="G83" s="13"/>
      <c r="H83" s="13">
        <v>0</v>
      </c>
    </row>
    <row r="84" spans="1:8">
      <c r="A84" s="22" t="s">
        <v>171</v>
      </c>
      <c r="B84" s="22" t="s">
        <v>171</v>
      </c>
      <c r="C84" s="140">
        <v>0.11799999999999999</v>
      </c>
      <c r="D84" s="134">
        <f>'Mix Info'!$F$8</f>
        <v>0</v>
      </c>
      <c r="E84" s="134">
        <f>'Mix Info'!$F$6</f>
        <v>0</v>
      </c>
      <c r="F84" s="13">
        <v>0.4</v>
      </c>
      <c r="G84" s="13">
        <v>0.435</v>
      </c>
      <c r="H84" s="138">
        <f>'Mix Info'!$F$7</f>
        <v>0</v>
      </c>
    </row>
    <row r="85" spans="1:8">
      <c r="A85" s="111" t="s">
        <v>176</v>
      </c>
      <c r="B85" s="111" t="s">
        <v>176</v>
      </c>
      <c r="C85" s="140">
        <v>0.13400000000000001</v>
      </c>
      <c r="D85" s="7">
        <v>50</v>
      </c>
      <c r="E85" s="7">
        <v>50</v>
      </c>
      <c r="F85" s="13">
        <v>0.39</v>
      </c>
      <c r="G85" s="13">
        <v>0.42</v>
      </c>
      <c r="H85" s="13">
        <v>0</v>
      </c>
    </row>
    <row r="86" spans="1:8">
      <c r="A86" s="111" t="s">
        <v>172</v>
      </c>
      <c r="B86" s="111" t="s">
        <v>172</v>
      </c>
      <c r="C86" s="140">
        <v>0.11799999999999999</v>
      </c>
      <c r="D86" s="7">
        <v>50</v>
      </c>
      <c r="E86" s="7">
        <v>50</v>
      </c>
      <c r="F86" s="13">
        <v>0.42</v>
      </c>
      <c r="G86" s="13">
        <v>0.45</v>
      </c>
      <c r="H86" s="13">
        <v>0</v>
      </c>
    </row>
    <row r="87" spans="1:8">
      <c r="A87" s="22" t="s">
        <v>72</v>
      </c>
      <c r="B87" s="22" t="s">
        <v>72</v>
      </c>
      <c r="C87" s="13">
        <v>0.14899999999999999</v>
      </c>
      <c r="D87" s="7">
        <v>45</v>
      </c>
      <c r="E87" s="7">
        <v>55</v>
      </c>
      <c r="F87" s="13">
        <v>0.32800000000000001</v>
      </c>
      <c r="G87" s="13">
        <v>0.4</v>
      </c>
      <c r="H87" s="13">
        <v>0</v>
      </c>
    </row>
    <row r="88" spans="1:8">
      <c r="A88" s="22" t="s">
        <v>73</v>
      </c>
      <c r="B88" s="22" t="s">
        <v>73</v>
      </c>
      <c r="C88" s="13">
        <v>0.156</v>
      </c>
      <c r="D88" s="7">
        <v>50</v>
      </c>
      <c r="E88" s="7">
        <v>50</v>
      </c>
      <c r="F88" s="13">
        <v>0.32800000000000001</v>
      </c>
      <c r="G88" s="13">
        <v>0.4</v>
      </c>
      <c r="H88" s="13">
        <v>0</v>
      </c>
    </row>
    <row r="89" spans="1:8">
      <c r="A89" s="22" t="s">
        <v>208</v>
      </c>
      <c r="B89" s="22" t="s">
        <v>208</v>
      </c>
      <c r="C89" s="13">
        <v>0.16</v>
      </c>
      <c r="D89" s="7">
        <v>55</v>
      </c>
      <c r="E89" s="7">
        <v>45</v>
      </c>
      <c r="F89" s="13">
        <v>0.32800000000000001</v>
      </c>
      <c r="G89" s="13">
        <v>0.4</v>
      </c>
      <c r="H89" s="13">
        <v>0</v>
      </c>
    </row>
    <row r="90" spans="1:8">
      <c r="A90" s="111" t="s">
        <v>1256</v>
      </c>
      <c r="B90" s="111" t="s">
        <v>1256</v>
      </c>
      <c r="C90" s="140">
        <v>0.106</v>
      </c>
      <c r="D90" s="7">
        <v>45</v>
      </c>
      <c r="E90" s="7">
        <v>55</v>
      </c>
      <c r="F90" s="13">
        <v>0.4</v>
      </c>
      <c r="G90" s="13">
        <v>0.45</v>
      </c>
      <c r="H90" s="13">
        <v>0</v>
      </c>
    </row>
    <row r="91" spans="1:8">
      <c r="A91" s="22" t="s">
        <v>79</v>
      </c>
      <c r="B91" s="22" t="s">
        <v>79</v>
      </c>
      <c r="C91" s="13">
        <v>0.16</v>
      </c>
      <c r="D91" s="7">
        <v>95</v>
      </c>
      <c r="E91" s="7">
        <v>5</v>
      </c>
      <c r="F91" s="13">
        <v>0.39</v>
      </c>
      <c r="G91" s="13">
        <v>0.42</v>
      </c>
      <c r="H91" s="13">
        <v>0</v>
      </c>
    </row>
    <row r="92" spans="1:8">
      <c r="A92" s="22" t="s">
        <v>192</v>
      </c>
      <c r="B92" s="22" t="s">
        <v>192</v>
      </c>
      <c r="C92" s="13">
        <v>0.155</v>
      </c>
      <c r="D92" s="7">
        <v>55</v>
      </c>
      <c r="E92" s="7">
        <v>45</v>
      </c>
      <c r="F92" s="13">
        <v>0.35</v>
      </c>
      <c r="G92" s="13">
        <v>0.4</v>
      </c>
      <c r="H92" s="13">
        <v>0</v>
      </c>
    </row>
    <row r="93" spans="1:8">
      <c r="A93" s="22" t="s">
        <v>168</v>
      </c>
      <c r="B93" s="22" t="s">
        <v>168</v>
      </c>
      <c r="C93" s="13">
        <v>0.156</v>
      </c>
      <c r="D93" s="7">
        <v>50</v>
      </c>
      <c r="E93" s="7">
        <v>50</v>
      </c>
      <c r="F93" s="13">
        <v>0.32700000000000001</v>
      </c>
      <c r="G93" s="13">
        <v>0</v>
      </c>
      <c r="H93" s="13">
        <v>0</v>
      </c>
    </row>
    <row r="94" spans="1:8">
      <c r="A94" s="22" t="s">
        <v>93</v>
      </c>
      <c r="B94" s="22" t="s">
        <v>93</v>
      </c>
      <c r="C94" s="141">
        <v>0.10589999999999999</v>
      </c>
      <c r="D94" s="134">
        <f>'Mix Info'!$F$8</f>
        <v>0</v>
      </c>
      <c r="E94" s="134">
        <f>'Mix Info'!$F$6</f>
        <v>0</v>
      </c>
      <c r="F94" s="137">
        <v>0.4</v>
      </c>
      <c r="G94" s="137">
        <v>0.435</v>
      </c>
      <c r="H94" s="138">
        <f>'Mix Info'!$F$7</f>
        <v>0</v>
      </c>
    </row>
    <row r="95" spans="1:8">
      <c r="A95" s="22" t="s">
        <v>1756</v>
      </c>
      <c r="B95" s="22" t="s">
        <v>1756</v>
      </c>
      <c r="C95" s="139">
        <f>'Mix Info'!$I$5</f>
        <v>0.13300000000000001</v>
      </c>
      <c r="D95" s="134">
        <f>'Mix Info'!$F$8</f>
        <v>0</v>
      </c>
      <c r="E95" s="134">
        <f>'Mix Info'!$F$6</f>
        <v>0</v>
      </c>
      <c r="F95" s="138">
        <f>'Mix Info'!$I$6</f>
        <v>0.4</v>
      </c>
      <c r="G95" s="138">
        <v>0.435</v>
      </c>
      <c r="H95" s="138">
        <f>'Mix Info'!$F$7</f>
        <v>0</v>
      </c>
    </row>
    <row r="96" spans="1:8">
      <c r="A96" s="135" t="s">
        <v>245</v>
      </c>
      <c r="B96" s="135" t="s">
        <v>245</v>
      </c>
      <c r="C96" s="139">
        <f>'Mix Info'!$I$5</f>
        <v>0.13300000000000001</v>
      </c>
      <c r="D96" s="134">
        <f>'Mix Info'!$F$8</f>
        <v>0</v>
      </c>
      <c r="E96" s="134">
        <f>'Mix Info'!$F$6</f>
        <v>0</v>
      </c>
      <c r="F96" s="138">
        <f>'Mix Info'!$I$6</f>
        <v>0.4</v>
      </c>
      <c r="G96" s="138">
        <v>0.42</v>
      </c>
      <c r="H96" s="138">
        <f>'Mix Info'!$F$7</f>
        <v>0</v>
      </c>
    </row>
    <row r="97" spans="1:8">
      <c r="A97" s="22" t="s">
        <v>246</v>
      </c>
      <c r="B97" s="22" t="s">
        <v>246</v>
      </c>
      <c r="C97" s="141">
        <v>0.1153</v>
      </c>
      <c r="D97" s="7">
        <v>50</v>
      </c>
      <c r="E97" s="7">
        <v>50</v>
      </c>
      <c r="F97" s="13">
        <v>0.4</v>
      </c>
      <c r="G97" s="13">
        <v>0.45</v>
      </c>
      <c r="H97" s="13">
        <v>0</v>
      </c>
    </row>
    <row r="98" spans="1:8">
      <c r="A98" s="22" t="s">
        <v>181</v>
      </c>
      <c r="B98" s="22" t="s">
        <v>181</v>
      </c>
      <c r="C98" s="13">
        <v>0.124</v>
      </c>
      <c r="D98" s="7">
        <v>60</v>
      </c>
      <c r="E98" s="7">
        <v>40</v>
      </c>
      <c r="F98" s="13">
        <v>0.42299999999999999</v>
      </c>
      <c r="G98" s="13"/>
      <c r="H98" s="13">
        <v>0</v>
      </c>
    </row>
    <row r="99" spans="1:8">
      <c r="A99" s="22" t="s">
        <v>182</v>
      </c>
      <c r="B99" s="22" t="s">
        <v>182</v>
      </c>
      <c r="C99" s="13">
        <v>0.129</v>
      </c>
      <c r="D99" s="7">
        <v>55</v>
      </c>
      <c r="E99" s="7">
        <v>45</v>
      </c>
      <c r="F99" s="13">
        <v>0.42299999999999999</v>
      </c>
      <c r="G99" s="13"/>
      <c r="H99" s="13">
        <v>0</v>
      </c>
    </row>
    <row r="100" spans="1:8">
      <c r="A100" s="22" t="s">
        <v>183</v>
      </c>
      <c r="B100" s="22" t="s">
        <v>183</v>
      </c>
      <c r="C100" s="13">
        <v>0.13400000000000001</v>
      </c>
      <c r="D100" s="7">
        <v>50</v>
      </c>
      <c r="E100" s="7">
        <v>50</v>
      </c>
      <c r="F100" s="13">
        <v>0.42299999999999999</v>
      </c>
      <c r="G100" s="13"/>
      <c r="H100" s="13">
        <v>0</v>
      </c>
    </row>
    <row r="101" spans="1:8">
      <c r="B101" s="23"/>
    </row>
    <row r="102" spans="1:8">
      <c r="B102" s="23"/>
    </row>
    <row r="103" spans="1:8">
      <c r="B103" s="23"/>
    </row>
    <row r="104" spans="1:8">
      <c r="B104" s="23"/>
    </row>
    <row r="105" spans="1:8">
      <c r="B105" s="23"/>
    </row>
    <row r="106" spans="1:8">
      <c r="B106" s="23"/>
    </row>
    <row r="107" spans="1:8">
      <c r="B107" s="23"/>
    </row>
    <row r="108" spans="1:8">
      <c r="B108" s="23"/>
    </row>
    <row r="109" spans="1:8">
      <c r="B109" s="23"/>
    </row>
    <row r="110" spans="1:8">
      <c r="B110" s="23"/>
    </row>
    <row r="111" spans="1:8">
      <c r="B111" s="23"/>
    </row>
    <row r="112" spans="1:8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  <row r="163" spans="2:2">
      <c r="B163" s="23"/>
    </row>
    <row r="164" spans="2:2">
      <c r="B164" s="23"/>
    </row>
    <row r="165" spans="2:2">
      <c r="B165" s="23"/>
    </row>
    <row r="166" spans="2:2">
      <c r="B166" s="23"/>
    </row>
    <row r="167" spans="2:2">
      <c r="B167" s="23"/>
    </row>
    <row r="168" spans="2:2">
      <c r="B168" s="23"/>
    </row>
    <row r="169" spans="2:2">
      <c r="B169" s="23"/>
    </row>
    <row r="170" spans="2:2">
      <c r="B170" s="23"/>
    </row>
    <row r="171" spans="2:2">
      <c r="B171" s="23"/>
    </row>
    <row r="172" spans="2:2">
      <c r="B172" s="23"/>
    </row>
    <row r="173" spans="2:2">
      <c r="B173" s="23"/>
    </row>
    <row r="174" spans="2:2">
      <c r="B174" s="23"/>
    </row>
    <row r="175" spans="2:2">
      <c r="B175" s="23"/>
    </row>
    <row r="176" spans="2:2">
      <c r="B176" s="23"/>
    </row>
    <row r="177" spans="2:2">
      <c r="B177" s="23"/>
    </row>
    <row r="178" spans="2:2">
      <c r="B178" s="23"/>
    </row>
    <row r="179" spans="2:2">
      <c r="B179" s="23"/>
    </row>
    <row r="180" spans="2:2">
      <c r="B180" s="23"/>
    </row>
    <row r="181" spans="2:2">
      <c r="B181" s="23"/>
    </row>
    <row r="182" spans="2:2">
      <c r="B182" s="23"/>
    </row>
    <row r="183" spans="2:2">
      <c r="B183" s="23"/>
    </row>
    <row r="184" spans="2:2">
      <c r="B184" s="23"/>
    </row>
    <row r="185" spans="2:2">
      <c r="B185" s="23"/>
    </row>
    <row r="186" spans="2:2">
      <c r="B186" s="23"/>
    </row>
    <row r="187" spans="2:2">
      <c r="B187" s="23"/>
    </row>
    <row r="188" spans="2:2">
      <c r="B188" s="23"/>
    </row>
    <row r="189" spans="2:2">
      <c r="B189" s="23"/>
    </row>
    <row r="190" spans="2:2">
      <c r="B190" s="23"/>
    </row>
    <row r="191" spans="2:2">
      <c r="B191" s="23"/>
    </row>
    <row r="192" spans="2:2">
      <c r="B192" s="23"/>
    </row>
    <row r="193" spans="2:2">
      <c r="B193" s="23"/>
    </row>
    <row r="194" spans="2:2">
      <c r="B194" s="23"/>
    </row>
    <row r="195" spans="2:2">
      <c r="B195" s="23"/>
    </row>
    <row r="196" spans="2:2">
      <c r="B196" s="23"/>
    </row>
    <row r="197" spans="2:2">
      <c r="B197" s="23"/>
    </row>
    <row r="198" spans="2:2">
      <c r="B198" s="23"/>
    </row>
    <row r="199" spans="2:2">
      <c r="B199" s="23"/>
    </row>
    <row r="200" spans="2:2">
      <c r="B200" s="23"/>
    </row>
    <row r="201" spans="2:2">
      <c r="B201" s="23"/>
    </row>
    <row r="202" spans="2:2">
      <c r="B202" s="23"/>
    </row>
    <row r="203" spans="2:2">
      <c r="B203" s="23"/>
    </row>
    <row r="204" spans="2:2">
      <c r="B204" s="23"/>
    </row>
    <row r="205" spans="2:2">
      <c r="B205" s="23"/>
    </row>
    <row r="206" spans="2:2">
      <c r="B206" s="23"/>
    </row>
    <row r="207" spans="2:2">
      <c r="B207" s="23"/>
    </row>
    <row r="208" spans="2:2">
      <c r="B208" s="23"/>
    </row>
    <row r="209" spans="2:2">
      <c r="B209" s="23"/>
    </row>
    <row r="210" spans="2:2">
      <c r="B210" s="23"/>
    </row>
    <row r="211" spans="2:2">
      <c r="B211" s="23"/>
    </row>
    <row r="212" spans="2:2">
      <c r="B212" s="23"/>
    </row>
    <row r="213" spans="2:2">
      <c r="B213" s="23"/>
    </row>
    <row r="214" spans="2:2">
      <c r="B214" s="23"/>
    </row>
    <row r="215" spans="2:2">
      <c r="B215" s="23"/>
    </row>
    <row r="216" spans="2:2">
      <c r="B216" s="23"/>
    </row>
    <row r="217" spans="2:2">
      <c r="B217" s="23"/>
    </row>
    <row r="218" spans="2:2">
      <c r="B218" s="23"/>
    </row>
    <row r="219" spans="2:2">
      <c r="B219" s="23"/>
    </row>
    <row r="220" spans="2:2">
      <c r="B220" s="23"/>
    </row>
    <row r="221" spans="2:2">
      <c r="B221" s="23"/>
    </row>
    <row r="222" spans="2:2">
      <c r="B222" s="23"/>
    </row>
    <row r="223" spans="2:2">
      <c r="B223" s="23"/>
    </row>
    <row r="224" spans="2:2">
      <c r="B224" s="23"/>
    </row>
    <row r="225" spans="2:2">
      <c r="B225" s="23"/>
    </row>
    <row r="226" spans="2:2">
      <c r="B226" s="23"/>
    </row>
    <row r="227" spans="2:2">
      <c r="B227" s="23"/>
    </row>
    <row r="228" spans="2:2">
      <c r="B228" s="23"/>
    </row>
    <row r="229" spans="2:2">
      <c r="B229" s="23"/>
    </row>
    <row r="230" spans="2:2">
      <c r="B230" s="23"/>
    </row>
    <row r="231" spans="2:2">
      <c r="B231" s="23"/>
    </row>
    <row r="232" spans="2:2">
      <c r="B232" s="23"/>
    </row>
    <row r="233" spans="2:2">
      <c r="B233" s="23"/>
    </row>
    <row r="234" spans="2:2">
      <c r="B234" s="23"/>
    </row>
    <row r="235" spans="2:2">
      <c r="B235" s="23"/>
    </row>
    <row r="236" spans="2:2">
      <c r="B236" s="23"/>
    </row>
    <row r="237" spans="2:2">
      <c r="B237" s="23"/>
    </row>
    <row r="238" spans="2:2">
      <c r="B238" s="23"/>
    </row>
    <row r="239" spans="2:2">
      <c r="B239" s="23"/>
    </row>
    <row r="240" spans="2:2">
      <c r="B240" s="23"/>
    </row>
    <row r="241" spans="2:2">
      <c r="B241" s="23"/>
    </row>
    <row r="242" spans="2:2">
      <c r="B242" s="23"/>
    </row>
    <row r="243" spans="2:2">
      <c r="B243" s="23"/>
    </row>
    <row r="244" spans="2:2">
      <c r="B244" s="23"/>
    </row>
    <row r="245" spans="2:2">
      <c r="B245" s="23"/>
    </row>
    <row r="246" spans="2:2">
      <c r="B246" s="23"/>
    </row>
    <row r="247" spans="2:2">
      <c r="B247" s="23"/>
    </row>
    <row r="248" spans="2:2">
      <c r="B248" s="23"/>
    </row>
    <row r="249" spans="2:2">
      <c r="B249" s="23"/>
    </row>
    <row r="250" spans="2:2">
      <c r="B250" s="23"/>
    </row>
    <row r="251" spans="2:2">
      <c r="B251" s="23"/>
    </row>
    <row r="252" spans="2:2">
      <c r="B252" s="23"/>
    </row>
    <row r="253" spans="2:2">
      <c r="B253" s="23"/>
    </row>
    <row r="254" spans="2:2">
      <c r="B254" s="23"/>
    </row>
    <row r="255" spans="2:2">
      <c r="B255" s="23"/>
    </row>
    <row r="256" spans="2:2">
      <c r="B256" s="23"/>
    </row>
    <row r="257" spans="2:2">
      <c r="B257" s="23"/>
    </row>
    <row r="258" spans="2:2">
      <c r="B258" s="23"/>
    </row>
    <row r="259" spans="2:2">
      <c r="B259" s="23"/>
    </row>
    <row r="260" spans="2:2">
      <c r="B260" s="23"/>
    </row>
    <row r="261" spans="2:2">
      <c r="B261" s="23"/>
    </row>
    <row r="262" spans="2:2">
      <c r="B262" s="23"/>
    </row>
    <row r="263" spans="2:2">
      <c r="B263" s="23"/>
    </row>
    <row r="264" spans="2:2">
      <c r="B264" s="23"/>
    </row>
    <row r="265" spans="2:2">
      <c r="B265" s="23"/>
    </row>
    <row r="266" spans="2:2">
      <c r="B266" s="23"/>
    </row>
    <row r="267" spans="2:2">
      <c r="B267" s="23"/>
    </row>
    <row r="268" spans="2:2">
      <c r="B268" s="23"/>
    </row>
    <row r="269" spans="2:2">
      <c r="B269" s="23"/>
    </row>
    <row r="270" spans="2:2">
      <c r="B270" s="23"/>
    </row>
    <row r="271" spans="2:2">
      <c r="B271" s="23"/>
    </row>
    <row r="272" spans="2:2">
      <c r="B272" s="23"/>
    </row>
    <row r="273" spans="2:2">
      <c r="B273" s="23"/>
    </row>
    <row r="274" spans="2:2">
      <c r="B274" s="23"/>
    </row>
    <row r="275" spans="2:2">
      <c r="B275" s="23"/>
    </row>
    <row r="276" spans="2:2">
      <c r="B276" s="23"/>
    </row>
    <row r="277" spans="2:2">
      <c r="B277" s="23"/>
    </row>
    <row r="278" spans="2:2">
      <c r="B278" s="23"/>
    </row>
    <row r="279" spans="2:2">
      <c r="B279" s="23"/>
    </row>
    <row r="280" spans="2:2">
      <c r="B280" s="23"/>
    </row>
    <row r="281" spans="2:2">
      <c r="B281" s="23"/>
    </row>
    <row r="282" spans="2:2">
      <c r="B282" s="23"/>
    </row>
    <row r="283" spans="2:2">
      <c r="B283" s="23"/>
    </row>
    <row r="284" spans="2:2">
      <c r="B284" s="23"/>
    </row>
    <row r="285" spans="2:2">
      <c r="B285" s="23"/>
    </row>
    <row r="286" spans="2:2">
      <c r="B286" s="23"/>
    </row>
    <row r="287" spans="2:2">
      <c r="B287" s="23"/>
    </row>
    <row r="288" spans="2:2">
      <c r="B288" s="23"/>
    </row>
    <row r="289" spans="2:2">
      <c r="B289" s="23"/>
    </row>
    <row r="290" spans="2:2">
      <c r="B290" s="23"/>
    </row>
    <row r="291" spans="2:2">
      <c r="B291" s="23"/>
    </row>
    <row r="292" spans="2:2">
      <c r="B292" s="23"/>
    </row>
    <row r="293" spans="2:2">
      <c r="B293" s="23"/>
    </row>
    <row r="294" spans="2:2">
      <c r="B294" s="23"/>
    </row>
    <row r="295" spans="2:2">
      <c r="B295" s="23"/>
    </row>
    <row r="296" spans="2:2">
      <c r="B296" s="23"/>
    </row>
    <row r="297" spans="2:2">
      <c r="B297" s="23"/>
    </row>
    <row r="298" spans="2:2">
      <c r="B298" s="23"/>
    </row>
    <row r="299" spans="2:2">
      <c r="B299" s="23"/>
    </row>
    <row r="300" spans="2:2">
      <c r="B300" s="23"/>
    </row>
    <row r="301" spans="2:2">
      <c r="B301" s="23"/>
    </row>
    <row r="302" spans="2:2">
      <c r="B302" s="23"/>
    </row>
    <row r="303" spans="2:2">
      <c r="B303" s="23"/>
    </row>
    <row r="304" spans="2:2">
      <c r="B304" s="23"/>
    </row>
    <row r="305" spans="2:2">
      <c r="B305" s="23"/>
    </row>
    <row r="306" spans="2:2">
      <c r="B306" s="23"/>
    </row>
    <row r="307" spans="2:2">
      <c r="B307" s="23"/>
    </row>
    <row r="308" spans="2:2">
      <c r="B308" s="23"/>
    </row>
    <row r="309" spans="2:2">
      <c r="B309" s="23"/>
    </row>
    <row r="310" spans="2:2">
      <c r="B310" s="23"/>
    </row>
    <row r="311" spans="2:2">
      <c r="B311" s="23"/>
    </row>
    <row r="312" spans="2:2">
      <c r="B312" s="23"/>
    </row>
    <row r="313" spans="2:2">
      <c r="B313" s="23"/>
    </row>
    <row r="314" spans="2:2">
      <c r="B314" s="23"/>
    </row>
    <row r="315" spans="2:2">
      <c r="B315" s="23"/>
    </row>
    <row r="316" spans="2:2">
      <c r="B316" s="23"/>
    </row>
    <row r="317" spans="2:2">
      <c r="B317" s="23"/>
    </row>
    <row r="318" spans="2:2">
      <c r="B318" s="23"/>
    </row>
    <row r="319" spans="2:2">
      <c r="B319" s="23"/>
    </row>
    <row r="320" spans="2:2">
      <c r="B320" s="23"/>
    </row>
    <row r="321" spans="2:2">
      <c r="B321" s="23"/>
    </row>
    <row r="322" spans="2:2">
      <c r="B322" s="23"/>
    </row>
    <row r="323" spans="2:2">
      <c r="B323" s="23"/>
    </row>
    <row r="324" spans="2:2">
      <c r="B324" s="23"/>
    </row>
    <row r="325" spans="2:2">
      <c r="B325" s="23"/>
    </row>
    <row r="326" spans="2:2">
      <c r="B326" s="23"/>
    </row>
    <row r="327" spans="2:2">
      <c r="B327" s="23"/>
    </row>
    <row r="328" spans="2:2">
      <c r="B328" s="23"/>
    </row>
    <row r="329" spans="2:2">
      <c r="B329" s="23"/>
    </row>
    <row r="330" spans="2:2">
      <c r="B330" s="23"/>
    </row>
    <row r="331" spans="2:2">
      <c r="B331" s="23"/>
    </row>
    <row r="332" spans="2:2">
      <c r="B332" s="23"/>
    </row>
    <row r="333" spans="2:2">
      <c r="B333" s="23"/>
    </row>
    <row r="334" spans="2:2">
      <c r="B334" s="23"/>
    </row>
    <row r="335" spans="2:2">
      <c r="B335" s="23"/>
    </row>
    <row r="336" spans="2:2">
      <c r="B336" s="23"/>
    </row>
    <row r="337" spans="2:2">
      <c r="B337" s="23"/>
    </row>
    <row r="338" spans="2:2">
      <c r="B338" s="23"/>
    </row>
    <row r="339" spans="2:2">
      <c r="B339" s="23"/>
    </row>
    <row r="340" spans="2:2">
      <c r="B340" s="23"/>
    </row>
    <row r="341" spans="2:2">
      <c r="B341" s="23"/>
    </row>
    <row r="342" spans="2:2">
      <c r="B342" s="23"/>
    </row>
    <row r="343" spans="2:2">
      <c r="B343" s="23"/>
    </row>
    <row r="344" spans="2:2">
      <c r="B344" s="23"/>
    </row>
    <row r="345" spans="2:2">
      <c r="B345" s="23"/>
    </row>
    <row r="346" spans="2:2">
      <c r="B346" s="23"/>
    </row>
    <row r="347" spans="2:2">
      <c r="B347" s="23"/>
    </row>
    <row r="348" spans="2:2">
      <c r="B348" s="23"/>
    </row>
    <row r="349" spans="2:2">
      <c r="B349" s="23"/>
    </row>
    <row r="350" spans="2:2">
      <c r="B350" s="23"/>
    </row>
    <row r="351" spans="2:2">
      <c r="B351" s="23"/>
    </row>
    <row r="352" spans="2:2">
      <c r="B352" s="23"/>
    </row>
    <row r="353" spans="2:2">
      <c r="B353" s="23"/>
    </row>
    <row r="354" spans="2:2">
      <c r="B354" s="23"/>
    </row>
    <row r="355" spans="2:2">
      <c r="B355" s="23"/>
    </row>
    <row r="356" spans="2:2">
      <c r="B356" s="23"/>
    </row>
    <row r="357" spans="2:2">
      <c r="B357" s="23"/>
    </row>
    <row r="358" spans="2:2">
      <c r="B358" s="23"/>
    </row>
    <row r="359" spans="2:2">
      <c r="B359" s="23"/>
    </row>
    <row r="360" spans="2:2">
      <c r="B360" s="23"/>
    </row>
    <row r="361" spans="2:2">
      <c r="B361" s="23"/>
    </row>
    <row r="362" spans="2:2">
      <c r="B362" s="23"/>
    </row>
    <row r="363" spans="2:2">
      <c r="B363" s="23"/>
    </row>
    <row r="364" spans="2:2">
      <c r="B364" s="23"/>
    </row>
    <row r="365" spans="2:2">
      <c r="B365" s="23"/>
    </row>
    <row r="366" spans="2:2">
      <c r="B366" s="23"/>
    </row>
    <row r="367" spans="2:2">
      <c r="B367" s="23"/>
    </row>
    <row r="368" spans="2:2">
      <c r="B368" s="23"/>
    </row>
    <row r="369" spans="2:2">
      <c r="B369" s="23"/>
    </row>
    <row r="370" spans="2:2">
      <c r="B370" s="23"/>
    </row>
    <row r="371" spans="2:2">
      <c r="B371" s="23"/>
    </row>
    <row r="372" spans="2:2">
      <c r="B372" s="23"/>
    </row>
    <row r="373" spans="2:2">
      <c r="B373" s="23"/>
    </row>
    <row r="374" spans="2:2">
      <c r="B374" s="23"/>
    </row>
    <row r="375" spans="2:2">
      <c r="B375" s="23"/>
    </row>
    <row r="376" spans="2:2">
      <c r="B376" s="23"/>
    </row>
    <row r="377" spans="2:2">
      <c r="B377" s="23"/>
    </row>
    <row r="378" spans="2:2">
      <c r="B378" s="23"/>
    </row>
    <row r="379" spans="2:2">
      <c r="B379" s="23"/>
    </row>
    <row r="380" spans="2:2">
      <c r="B380" s="23"/>
    </row>
    <row r="381" spans="2:2">
      <c r="B381" s="23"/>
    </row>
    <row r="382" spans="2:2">
      <c r="B382" s="23"/>
    </row>
    <row r="383" spans="2:2">
      <c r="B383" s="23"/>
    </row>
    <row r="384" spans="2:2">
      <c r="B384" s="23"/>
    </row>
    <row r="385" spans="2:2">
      <c r="B385" s="23"/>
    </row>
    <row r="386" spans="2:2">
      <c r="B386" s="23"/>
    </row>
    <row r="387" spans="2:2">
      <c r="B387" s="23"/>
    </row>
    <row r="388" spans="2:2">
      <c r="B388" s="23"/>
    </row>
    <row r="389" spans="2:2">
      <c r="B389" s="23"/>
    </row>
    <row r="390" spans="2:2">
      <c r="B390" s="23"/>
    </row>
    <row r="391" spans="2:2">
      <c r="B391" s="23"/>
    </row>
    <row r="392" spans="2:2">
      <c r="B392" s="23"/>
    </row>
    <row r="393" spans="2:2">
      <c r="B393" s="23"/>
    </row>
    <row r="394" spans="2:2">
      <c r="B394" s="23"/>
    </row>
    <row r="395" spans="2:2">
      <c r="B395" s="23"/>
    </row>
    <row r="396" spans="2:2">
      <c r="B396" s="23"/>
    </row>
    <row r="397" spans="2:2">
      <c r="B397" s="23"/>
    </row>
    <row r="398" spans="2:2">
      <c r="B398" s="23"/>
    </row>
    <row r="399" spans="2:2">
      <c r="B399" s="23"/>
    </row>
    <row r="400" spans="2:2">
      <c r="B400" s="23"/>
    </row>
    <row r="401" spans="2:2">
      <c r="B401" s="23"/>
    </row>
    <row r="402" spans="2:2">
      <c r="B402" s="23"/>
    </row>
    <row r="403" spans="2:2">
      <c r="B403" s="23"/>
    </row>
    <row r="404" spans="2:2">
      <c r="B404" s="23"/>
    </row>
    <row r="405" spans="2:2">
      <c r="B405" s="23"/>
    </row>
    <row r="406" spans="2:2">
      <c r="B406" s="23"/>
    </row>
    <row r="407" spans="2:2">
      <c r="B407" s="23"/>
    </row>
    <row r="408" spans="2:2">
      <c r="B408" s="23"/>
    </row>
    <row r="409" spans="2:2">
      <c r="B409" s="23"/>
    </row>
    <row r="410" spans="2:2">
      <c r="B410" s="23"/>
    </row>
    <row r="411" spans="2:2">
      <c r="B411" s="23"/>
    </row>
    <row r="412" spans="2:2">
      <c r="B412" s="23"/>
    </row>
    <row r="413" spans="2:2">
      <c r="B413" s="23"/>
    </row>
    <row r="414" spans="2:2">
      <c r="B414" s="23"/>
    </row>
    <row r="415" spans="2:2">
      <c r="B415" s="23"/>
    </row>
    <row r="416" spans="2:2">
      <c r="B416" s="23"/>
    </row>
    <row r="417" spans="2:2">
      <c r="B417" s="23"/>
    </row>
    <row r="418" spans="2:2">
      <c r="B418" s="23"/>
    </row>
    <row r="419" spans="2:2">
      <c r="B419" s="23"/>
    </row>
    <row r="420" spans="2:2">
      <c r="B420" s="23"/>
    </row>
    <row r="421" spans="2:2">
      <c r="B421" s="23"/>
    </row>
    <row r="422" spans="2:2">
      <c r="B422" s="23"/>
    </row>
    <row r="423" spans="2:2">
      <c r="B423" s="23"/>
    </row>
    <row r="424" spans="2:2">
      <c r="B424" s="23"/>
    </row>
    <row r="425" spans="2:2">
      <c r="B425" s="23"/>
    </row>
    <row r="426" spans="2:2">
      <c r="B426" s="23"/>
    </row>
    <row r="427" spans="2:2">
      <c r="B427" s="23"/>
    </row>
    <row r="428" spans="2:2">
      <c r="B428" s="23"/>
    </row>
    <row r="429" spans="2:2">
      <c r="B429" s="23"/>
    </row>
    <row r="430" spans="2:2">
      <c r="B430" s="23"/>
    </row>
    <row r="431" spans="2:2">
      <c r="B431" s="23"/>
    </row>
    <row r="432" spans="2:2">
      <c r="B432" s="23"/>
    </row>
    <row r="433" spans="2:2">
      <c r="B433" s="23"/>
    </row>
    <row r="434" spans="2:2">
      <c r="B434" s="23"/>
    </row>
    <row r="435" spans="2:2">
      <c r="B435" s="23"/>
    </row>
    <row r="436" spans="2:2">
      <c r="B436" s="23"/>
    </row>
    <row r="437" spans="2:2">
      <c r="B437" s="23"/>
    </row>
    <row r="438" spans="2:2">
      <c r="B438" s="23"/>
    </row>
    <row r="439" spans="2:2">
      <c r="B439" s="23"/>
    </row>
    <row r="440" spans="2:2">
      <c r="B440" s="23"/>
    </row>
    <row r="441" spans="2:2">
      <c r="B441" s="23"/>
    </row>
    <row r="442" spans="2:2">
      <c r="B442" s="23"/>
    </row>
    <row r="443" spans="2:2">
      <c r="B443" s="23"/>
    </row>
    <row r="444" spans="2:2">
      <c r="B444" s="23"/>
    </row>
    <row r="445" spans="2:2">
      <c r="B445" s="23"/>
    </row>
    <row r="446" spans="2:2">
      <c r="B446" s="23"/>
    </row>
    <row r="447" spans="2:2">
      <c r="B447" s="23"/>
    </row>
    <row r="448" spans="2:2">
      <c r="B448" s="23"/>
    </row>
    <row r="449" spans="2:2">
      <c r="B449" s="23"/>
    </row>
    <row r="450" spans="2:2">
      <c r="B450" s="23"/>
    </row>
    <row r="451" spans="2:2">
      <c r="B451" s="23"/>
    </row>
    <row r="452" spans="2:2">
      <c r="B452" s="23"/>
    </row>
    <row r="453" spans="2:2">
      <c r="B453" s="23"/>
    </row>
    <row r="454" spans="2:2">
      <c r="B454" s="23"/>
    </row>
    <row r="455" spans="2:2">
      <c r="B455" s="23"/>
    </row>
    <row r="456" spans="2:2">
      <c r="B456" s="23"/>
    </row>
    <row r="457" spans="2:2">
      <c r="B457" s="23"/>
    </row>
    <row r="458" spans="2:2">
      <c r="B458" s="23"/>
    </row>
    <row r="459" spans="2:2">
      <c r="B459" s="23"/>
    </row>
    <row r="460" spans="2:2">
      <c r="B460" s="23"/>
    </row>
    <row r="461" spans="2:2">
      <c r="B461" s="23"/>
    </row>
    <row r="462" spans="2:2">
      <c r="B462" s="23"/>
    </row>
    <row r="463" spans="2:2">
      <c r="B463" s="23"/>
    </row>
    <row r="464" spans="2:2">
      <c r="B464" s="23"/>
    </row>
    <row r="465" spans="2:2">
      <c r="B465" s="23"/>
    </row>
    <row r="466" spans="2:2">
      <c r="B466" s="23"/>
    </row>
    <row r="467" spans="2:2">
      <c r="B467" s="23"/>
    </row>
    <row r="468" spans="2:2">
      <c r="B468" s="23"/>
    </row>
    <row r="469" spans="2:2">
      <c r="B469" s="23"/>
    </row>
    <row r="470" spans="2:2">
      <c r="B470" s="23"/>
    </row>
    <row r="471" spans="2:2">
      <c r="B471" s="23"/>
    </row>
    <row r="472" spans="2:2">
      <c r="B472" s="23"/>
    </row>
    <row r="473" spans="2:2">
      <c r="B473" s="23"/>
    </row>
    <row r="474" spans="2:2">
      <c r="B474" s="23"/>
    </row>
    <row r="475" spans="2:2">
      <c r="B475" s="23"/>
    </row>
    <row r="476" spans="2:2">
      <c r="B476" s="23"/>
    </row>
    <row r="477" spans="2:2">
      <c r="B477" s="23"/>
    </row>
    <row r="478" spans="2:2">
      <c r="B478" s="23"/>
    </row>
    <row r="479" spans="2:2">
      <c r="B479" s="23"/>
    </row>
    <row r="480" spans="2:2">
      <c r="B480" s="23"/>
    </row>
    <row r="481" spans="2:2">
      <c r="B481" s="23"/>
    </row>
    <row r="482" spans="2:2">
      <c r="B482" s="23"/>
    </row>
    <row r="483" spans="2:2">
      <c r="B483" s="23"/>
    </row>
    <row r="484" spans="2:2">
      <c r="B484" s="23"/>
    </row>
    <row r="485" spans="2:2">
      <c r="B485" s="23"/>
    </row>
    <row r="486" spans="2:2">
      <c r="B486" s="23"/>
    </row>
    <row r="487" spans="2:2">
      <c r="B487" s="23"/>
    </row>
    <row r="488" spans="2:2">
      <c r="B488" s="23"/>
    </row>
    <row r="489" spans="2:2">
      <c r="B489" s="23"/>
    </row>
    <row r="490" spans="2:2">
      <c r="B490" s="23"/>
    </row>
    <row r="491" spans="2:2">
      <c r="B491" s="23"/>
    </row>
    <row r="492" spans="2:2">
      <c r="B492" s="23"/>
    </row>
    <row r="493" spans="2:2">
      <c r="B493" s="23"/>
    </row>
    <row r="494" spans="2:2">
      <c r="B494" s="23"/>
    </row>
    <row r="495" spans="2:2">
      <c r="B495" s="23"/>
    </row>
    <row r="496" spans="2:2">
      <c r="B496" s="23"/>
    </row>
    <row r="497" spans="2:2">
      <c r="B497" s="23"/>
    </row>
    <row r="498" spans="2:2">
      <c r="B498" s="23"/>
    </row>
    <row r="499" spans="2:2">
      <c r="B499" s="23"/>
    </row>
    <row r="500" spans="2:2">
      <c r="B500" s="23"/>
    </row>
    <row r="501" spans="2:2">
      <c r="B501" s="23"/>
    </row>
    <row r="502" spans="2:2">
      <c r="B502" s="23"/>
    </row>
    <row r="503" spans="2:2">
      <c r="B503" s="23"/>
    </row>
    <row r="504" spans="2:2">
      <c r="B504" s="23"/>
    </row>
    <row r="505" spans="2:2">
      <c r="B505" s="23"/>
    </row>
    <row r="506" spans="2:2">
      <c r="B506" s="23"/>
    </row>
    <row r="507" spans="2:2">
      <c r="B507" s="23"/>
    </row>
    <row r="508" spans="2:2">
      <c r="B508" s="23"/>
    </row>
    <row r="509" spans="2:2">
      <c r="B509" s="23"/>
    </row>
    <row r="510" spans="2:2">
      <c r="B510" s="23"/>
    </row>
    <row r="511" spans="2:2">
      <c r="B511" s="23"/>
    </row>
    <row r="512" spans="2:2">
      <c r="B512" s="23"/>
    </row>
    <row r="513" spans="2:2">
      <c r="B513" s="23"/>
    </row>
    <row r="514" spans="2:2">
      <c r="B514" s="23"/>
    </row>
    <row r="515" spans="2:2">
      <c r="B515" s="23"/>
    </row>
    <row r="516" spans="2:2">
      <c r="B516" s="23"/>
    </row>
    <row r="517" spans="2:2">
      <c r="B517" s="23"/>
    </row>
    <row r="518" spans="2:2">
      <c r="B518" s="23"/>
    </row>
    <row r="519" spans="2:2">
      <c r="B519" s="23"/>
    </row>
    <row r="520" spans="2:2">
      <c r="B520" s="23"/>
    </row>
    <row r="521" spans="2:2">
      <c r="B521" s="23"/>
    </row>
    <row r="522" spans="2:2">
      <c r="B522" s="23"/>
    </row>
    <row r="523" spans="2:2">
      <c r="B523" s="23"/>
    </row>
    <row r="524" spans="2:2">
      <c r="B524" s="23"/>
    </row>
    <row r="525" spans="2:2">
      <c r="B525" s="23"/>
    </row>
    <row r="526" spans="2:2">
      <c r="B526" s="23"/>
    </row>
    <row r="527" spans="2:2">
      <c r="B527" s="23"/>
    </row>
    <row r="528" spans="2:2">
      <c r="B528" s="23"/>
    </row>
    <row r="529" spans="2:2">
      <c r="B529" s="23"/>
    </row>
    <row r="530" spans="2:2">
      <c r="B530" s="23"/>
    </row>
    <row r="531" spans="2:2">
      <c r="B531" s="23"/>
    </row>
    <row r="532" spans="2:2">
      <c r="B532" s="23"/>
    </row>
    <row r="533" spans="2:2">
      <c r="B533" s="23"/>
    </row>
    <row r="534" spans="2:2">
      <c r="B534" s="23"/>
    </row>
    <row r="535" spans="2:2">
      <c r="B535" s="23"/>
    </row>
    <row r="536" spans="2:2">
      <c r="B536" s="23"/>
    </row>
    <row r="537" spans="2:2">
      <c r="B537" s="23"/>
    </row>
    <row r="538" spans="2:2">
      <c r="B538" s="23"/>
    </row>
    <row r="539" spans="2:2">
      <c r="B539" s="23"/>
    </row>
    <row r="540" spans="2:2">
      <c r="B540" s="23"/>
    </row>
    <row r="541" spans="2:2">
      <c r="B541" s="23"/>
    </row>
    <row r="542" spans="2:2">
      <c r="B542" s="23"/>
    </row>
    <row r="543" spans="2:2">
      <c r="B543" s="23"/>
    </row>
    <row r="544" spans="2:2">
      <c r="B544" s="23"/>
    </row>
    <row r="545" spans="2:2">
      <c r="B545" s="23"/>
    </row>
    <row r="546" spans="2:2">
      <c r="B546" s="23"/>
    </row>
    <row r="547" spans="2:2">
      <c r="B547" s="23"/>
    </row>
    <row r="548" spans="2:2">
      <c r="B548" s="23"/>
    </row>
    <row r="549" spans="2:2">
      <c r="B549" s="23"/>
    </row>
    <row r="550" spans="2:2">
      <c r="B550" s="23"/>
    </row>
    <row r="551" spans="2:2">
      <c r="B551" s="23"/>
    </row>
    <row r="552" spans="2:2">
      <c r="B552" s="23"/>
    </row>
    <row r="553" spans="2:2">
      <c r="B553" s="23"/>
    </row>
    <row r="554" spans="2:2">
      <c r="B554" s="23"/>
    </row>
    <row r="555" spans="2:2">
      <c r="B555" s="23"/>
    </row>
    <row r="556" spans="2:2">
      <c r="B556" s="23"/>
    </row>
    <row r="557" spans="2:2">
      <c r="B557" s="23"/>
    </row>
    <row r="558" spans="2:2">
      <c r="B558" s="23"/>
    </row>
    <row r="559" spans="2:2">
      <c r="B559" s="23"/>
    </row>
    <row r="560" spans="2:2">
      <c r="B560" s="23"/>
    </row>
    <row r="561" spans="2:2">
      <c r="B561" s="23"/>
    </row>
    <row r="562" spans="2:2">
      <c r="B562" s="23"/>
    </row>
    <row r="563" spans="2:2">
      <c r="B563" s="23"/>
    </row>
    <row r="564" spans="2:2">
      <c r="B564" s="23"/>
    </row>
    <row r="565" spans="2:2">
      <c r="B565" s="23"/>
    </row>
    <row r="566" spans="2:2">
      <c r="B566" s="23"/>
    </row>
    <row r="567" spans="2:2">
      <c r="B567" s="23"/>
    </row>
    <row r="568" spans="2:2">
      <c r="B568" s="23"/>
    </row>
    <row r="569" spans="2:2">
      <c r="B569" s="23"/>
    </row>
    <row r="570" spans="2:2">
      <c r="B570" s="23"/>
    </row>
    <row r="571" spans="2:2">
      <c r="B571" s="23"/>
    </row>
    <row r="572" spans="2:2">
      <c r="B572" s="23"/>
    </row>
    <row r="573" spans="2:2">
      <c r="B573" s="23"/>
    </row>
    <row r="574" spans="2:2">
      <c r="B574" s="23"/>
    </row>
    <row r="575" spans="2:2">
      <c r="B575" s="23"/>
    </row>
    <row r="576" spans="2:2">
      <c r="B576" s="23"/>
    </row>
    <row r="577" spans="2:2">
      <c r="B577" s="23"/>
    </row>
    <row r="578" spans="2:2">
      <c r="B578" s="23"/>
    </row>
    <row r="579" spans="2:2">
      <c r="B579" s="23"/>
    </row>
    <row r="580" spans="2:2">
      <c r="B580" s="23"/>
    </row>
    <row r="581" spans="2:2">
      <c r="B581" s="23"/>
    </row>
    <row r="582" spans="2:2">
      <c r="B582" s="23"/>
    </row>
    <row r="583" spans="2:2">
      <c r="B583" s="23"/>
    </row>
    <row r="584" spans="2:2">
      <c r="B584" s="23"/>
    </row>
    <row r="585" spans="2:2">
      <c r="B585" s="23"/>
    </row>
    <row r="586" spans="2:2">
      <c r="B586" s="23"/>
    </row>
    <row r="587" spans="2:2">
      <c r="B587" s="23"/>
    </row>
    <row r="588" spans="2:2">
      <c r="B588" s="23"/>
    </row>
    <row r="589" spans="2:2">
      <c r="B589" s="23"/>
    </row>
    <row r="590" spans="2:2">
      <c r="B590" s="23"/>
    </row>
    <row r="591" spans="2:2">
      <c r="B591" s="23"/>
    </row>
    <row r="592" spans="2:2">
      <c r="B592" s="23"/>
    </row>
    <row r="593" spans="2:2">
      <c r="B593" s="23"/>
    </row>
    <row r="594" spans="2:2">
      <c r="B594" s="23"/>
    </row>
    <row r="595" spans="2:2">
      <c r="B595" s="23"/>
    </row>
    <row r="596" spans="2:2">
      <c r="B596" s="23"/>
    </row>
    <row r="597" spans="2:2">
      <c r="B597" s="23"/>
    </row>
    <row r="598" spans="2:2">
      <c r="B598" s="23"/>
    </row>
    <row r="599" spans="2:2">
      <c r="B599" s="23"/>
    </row>
    <row r="600" spans="2:2">
      <c r="B600" s="23"/>
    </row>
    <row r="601" spans="2:2">
      <c r="B601" s="23"/>
    </row>
    <row r="602" spans="2:2">
      <c r="B602" s="23"/>
    </row>
    <row r="603" spans="2:2">
      <c r="B603" s="23"/>
    </row>
    <row r="604" spans="2:2">
      <c r="B604" s="23"/>
    </row>
    <row r="605" spans="2:2">
      <c r="B605" s="23"/>
    </row>
    <row r="606" spans="2:2">
      <c r="B606" s="23"/>
    </row>
    <row r="607" spans="2:2">
      <c r="B607" s="23"/>
    </row>
    <row r="608" spans="2:2">
      <c r="B608" s="23"/>
    </row>
    <row r="609" spans="2:2">
      <c r="B609" s="23"/>
    </row>
    <row r="610" spans="2:2">
      <c r="B610" s="23"/>
    </row>
    <row r="611" spans="2:2">
      <c r="B611" s="23"/>
    </row>
    <row r="612" spans="2:2">
      <c r="B612" s="23"/>
    </row>
    <row r="613" spans="2:2">
      <c r="B613" s="23"/>
    </row>
    <row r="614" spans="2:2">
      <c r="B614" s="23"/>
    </row>
    <row r="615" spans="2:2">
      <c r="B615" s="23"/>
    </row>
    <row r="616" spans="2:2">
      <c r="B616" s="23"/>
    </row>
    <row r="617" spans="2:2">
      <c r="B617" s="23"/>
    </row>
    <row r="618" spans="2:2">
      <c r="B618" s="23"/>
    </row>
    <row r="619" spans="2:2">
      <c r="B619" s="23"/>
    </row>
    <row r="620" spans="2:2">
      <c r="B620" s="23"/>
    </row>
    <row r="621" spans="2:2">
      <c r="B621" s="23"/>
    </row>
    <row r="622" spans="2:2">
      <c r="B622" s="23"/>
    </row>
    <row r="623" spans="2:2">
      <c r="B623" s="23"/>
    </row>
    <row r="624" spans="2:2">
      <c r="B624" s="23"/>
    </row>
    <row r="625" spans="2:2">
      <c r="B625" s="23"/>
    </row>
    <row r="626" spans="2:2">
      <c r="B626" s="23"/>
    </row>
    <row r="627" spans="2:2">
      <c r="B627" s="23"/>
    </row>
    <row r="628" spans="2:2">
      <c r="B628" s="23"/>
    </row>
    <row r="629" spans="2:2">
      <c r="B629" s="23"/>
    </row>
    <row r="630" spans="2:2">
      <c r="B630" s="23"/>
    </row>
    <row r="631" spans="2:2">
      <c r="B631" s="23"/>
    </row>
    <row r="632" spans="2:2">
      <c r="B632" s="23"/>
    </row>
    <row r="633" spans="2:2">
      <c r="B633" s="23"/>
    </row>
    <row r="634" spans="2:2">
      <c r="B634" s="23"/>
    </row>
    <row r="635" spans="2:2">
      <c r="B635" s="23"/>
    </row>
    <row r="636" spans="2:2">
      <c r="B636" s="23"/>
    </row>
    <row r="637" spans="2:2">
      <c r="B637" s="23"/>
    </row>
    <row r="638" spans="2:2">
      <c r="B638" s="23"/>
    </row>
    <row r="639" spans="2:2">
      <c r="B639" s="23"/>
    </row>
    <row r="640" spans="2:2">
      <c r="B640" s="23"/>
    </row>
    <row r="641" spans="2:2">
      <c r="B641" s="23"/>
    </row>
    <row r="642" spans="2:2">
      <c r="B642" s="23"/>
    </row>
    <row r="643" spans="2:2">
      <c r="B643" s="23"/>
    </row>
    <row r="644" spans="2:2">
      <c r="B644" s="23"/>
    </row>
    <row r="645" spans="2:2">
      <c r="B645" s="23"/>
    </row>
    <row r="646" spans="2:2">
      <c r="B646" s="23"/>
    </row>
    <row r="647" spans="2:2">
      <c r="B647" s="23"/>
    </row>
    <row r="648" spans="2:2">
      <c r="B648" s="23"/>
    </row>
    <row r="649" spans="2:2">
      <c r="B649" s="23"/>
    </row>
    <row r="650" spans="2:2">
      <c r="B650" s="23"/>
    </row>
    <row r="651" spans="2:2">
      <c r="B651" s="23"/>
    </row>
    <row r="652" spans="2:2">
      <c r="B652" s="23"/>
    </row>
    <row r="653" spans="2:2">
      <c r="B653" s="23"/>
    </row>
    <row r="654" spans="2:2">
      <c r="B654" s="23"/>
    </row>
    <row r="655" spans="2:2">
      <c r="B655" s="23"/>
    </row>
    <row r="656" spans="2:2">
      <c r="B656" s="23"/>
    </row>
    <row r="657" spans="2:2">
      <c r="B657" s="23"/>
    </row>
    <row r="658" spans="2:2">
      <c r="B658" s="23"/>
    </row>
    <row r="659" spans="2:2">
      <c r="B659" s="23"/>
    </row>
    <row r="660" spans="2:2">
      <c r="B660" s="23"/>
    </row>
    <row r="661" spans="2:2">
      <c r="B661" s="23"/>
    </row>
    <row r="662" spans="2:2">
      <c r="B662" s="23"/>
    </row>
    <row r="663" spans="2:2">
      <c r="B663" s="23"/>
    </row>
    <row r="664" spans="2:2">
      <c r="B664" s="23"/>
    </row>
    <row r="665" spans="2:2">
      <c r="B665" s="23"/>
    </row>
    <row r="666" spans="2:2">
      <c r="B666" s="23"/>
    </row>
    <row r="667" spans="2:2">
      <c r="B667" s="23"/>
    </row>
    <row r="668" spans="2:2">
      <c r="B668" s="23"/>
    </row>
    <row r="669" spans="2:2">
      <c r="B669" s="23"/>
    </row>
    <row r="670" spans="2:2">
      <c r="B670" s="23"/>
    </row>
    <row r="671" spans="2:2">
      <c r="B671" s="23"/>
    </row>
    <row r="672" spans="2:2">
      <c r="B672" s="23"/>
    </row>
    <row r="673" spans="2:2">
      <c r="B673" s="23"/>
    </row>
    <row r="674" spans="2:2">
      <c r="B674" s="23"/>
    </row>
    <row r="675" spans="2:2">
      <c r="B675" s="23"/>
    </row>
    <row r="676" spans="2:2">
      <c r="B676" s="23"/>
    </row>
    <row r="677" spans="2:2">
      <c r="B677" s="23"/>
    </row>
    <row r="678" spans="2:2">
      <c r="B678" s="23"/>
    </row>
    <row r="679" spans="2:2">
      <c r="B679" s="23"/>
    </row>
    <row r="680" spans="2:2">
      <c r="B680" s="23"/>
    </row>
    <row r="681" spans="2:2">
      <c r="B681" s="23"/>
    </row>
    <row r="682" spans="2:2">
      <c r="B682" s="23"/>
    </row>
    <row r="683" spans="2:2">
      <c r="B683" s="23"/>
    </row>
    <row r="684" spans="2:2">
      <c r="B684" s="23"/>
    </row>
    <row r="685" spans="2:2">
      <c r="B685" s="23"/>
    </row>
    <row r="686" spans="2:2">
      <c r="B686" s="23"/>
    </row>
    <row r="687" spans="2:2">
      <c r="B687" s="23"/>
    </row>
    <row r="688" spans="2:2">
      <c r="B688" s="23"/>
    </row>
    <row r="689" spans="2:2">
      <c r="B689" s="23"/>
    </row>
    <row r="690" spans="2:2">
      <c r="B690" s="23"/>
    </row>
    <row r="691" spans="2:2">
      <c r="B691" s="23"/>
    </row>
    <row r="692" spans="2:2">
      <c r="B692" s="23"/>
    </row>
    <row r="693" spans="2:2">
      <c r="B693" s="23"/>
    </row>
    <row r="694" spans="2:2">
      <c r="B694" s="23"/>
    </row>
    <row r="695" spans="2:2">
      <c r="B695" s="23"/>
    </row>
    <row r="696" spans="2:2">
      <c r="B696" s="23"/>
    </row>
    <row r="697" spans="2:2">
      <c r="B697" s="23"/>
    </row>
    <row r="698" spans="2:2">
      <c r="B698" s="23"/>
    </row>
    <row r="699" spans="2:2">
      <c r="B699" s="23"/>
    </row>
    <row r="700" spans="2:2">
      <c r="B700" s="23"/>
    </row>
    <row r="701" spans="2:2">
      <c r="B701" s="23"/>
    </row>
  </sheetData>
  <sheetProtection algorithmName="SHA-512" hashValue="1ifcksaWYa3EBqMPFhT6l9BmLb5SLGqec0X7OZMZ0w5BL3nfZQ6k4VZzQylndtMoBXabl216WEpbRwAt4oTeYQ==" saltValue="LFa0+nOGYPiPyCxQ3P+WyA==" spinCount="100000" sheet="1" objects="1" scenarios="1"/>
  <mergeCells count="1">
    <mergeCell ref="G24:H24"/>
  </mergeCells>
  <phoneticPr fontId="2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60F92-74B0-4972-AEE8-7F31510CAE2E}">
  <sheetPr codeName="Sheet8">
    <tabColor rgb="FFFFC000"/>
  </sheetPr>
  <dimension ref="A1:AD62"/>
  <sheetViews>
    <sheetView view="pageBreakPreview" zoomScale="75" zoomScaleNormal="75" zoomScaleSheetLayoutView="75" workbookViewId="0">
      <selection activeCell="B12" sqref="B12"/>
    </sheetView>
  </sheetViews>
  <sheetFormatPr defaultColWidth="8.77734375" defaultRowHeight="12.75"/>
  <cols>
    <col min="1" max="1" width="11" style="205" customWidth="1"/>
    <col min="2" max="2" width="10" style="205" customWidth="1"/>
    <col min="3" max="3" width="13" style="205" customWidth="1"/>
    <col min="4" max="4" width="10" style="205" customWidth="1"/>
    <col min="5" max="5" width="16.109375" style="205" customWidth="1"/>
    <col min="6" max="6" width="10.77734375" style="205" customWidth="1"/>
    <col min="7" max="7" width="11.77734375" style="205" customWidth="1"/>
    <col min="8" max="8" width="10.77734375" style="205" customWidth="1"/>
    <col min="9" max="9" width="11" style="205" customWidth="1"/>
    <col min="10" max="14" width="6.77734375" style="205" customWidth="1"/>
    <col min="15" max="15" width="7.77734375" style="205" customWidth="1"/>
    <col min="16" max="18" width="6.77734375" style="205" customWidth="1"/>
    <col min="19" max="21" width="8.77734375" style="205"/>
    <col min="22" max="22" width="16" style="205" bestFit="1" customWidth="1"/>
    <col min="23" max="23" width="16.21875" style="205" bestFit="1" customWidth="1"/>
    <col min="24" max="24" width="22.109375" style="207" bestFit="1" customWidth="1"/>
    <col min="25" max="25" width="25.21875" style="205" bestFit="1" customWidth="1"/>
    <col min="26" max="26" width="16" style="205" bestFit="1" customWidth="1"/>
    <col min="27" max="27" width="16.21875" style="205" bestFit="1" customWidth="1"/>
    <col min="28" max="28" width="22.109375" style="205" bestFit="1" customWidth="1"/>
    <col min="29" max="29" width="25.21875" style="205" bestFit="1" customWidth="1"/>
    <col min="30" max="16384" width="8.77734375" style="205"/>
  </cols>
  <sheetData>
    <row r="1" spans="1:29" ht="15" customHeight="1">
      <c r="A1" s="204" t="s">
        <v>1751</v>
      </c>
      <c r="L1" s="206" t="s">
        <v>1428</v>
      </c>
      <c r="M1" s="206"/>
      <c r="N1" s="206"/>
      <c r="O1" s="206"/>
      <c r="P1" s="206"/>
      <c r="Q1" s="206"/>
      <c r="R1" s="206"/>
      <c r="S1" s="205" t="s">
        <v>1429</v>
      </c>
      <c r="U1" s="205" t="s">
        <v>1430</v>
      </c>
    </row>
    <row r="2" spans="1:29" ht="15" customHeight="1">
      <c r="A2" s="204"/>
      <c r="L2" s="208" t="s">
        <v>1431</v>
      </c>
      <c r="M2" s="209" t="s">
        <v>1432</v>
      </c>
      <c r="N2" s="209" t="s">
        <v>1433</v>
      </c>
      <c r="O2" s="209" t="s">
        <v>1434</v>
      </c>
      <c r="P2" s="209" t="s">
        <v>1435</v>
      </c>
      <c r="Q2" s="210"/>
      <c r="R2" s="211"/>
      <c r="U2" s="212"/>
      <c r="V2" s="213" t="s">
        <v>1436</v>
      </c>
      <c r="W2" s="214" t="s">
        <v>1437</v>
      </c>
      <c r="X2" s="213" t="s">
        <v>1438</v>
      </c>
      <c r="Y2" s="213" t="s">
        <v>1439</v>
      </c>
      <c r="Z2" s="213" t="s">
        <v>1440</v>
      </c>
      <c r="AA2" s="214" t="s">
        <v>1441</v>
      </c>
      <c r="AB2" s="213" t="s">
        <v>1442</v>
      </c>
      <c r="AC2" s="215" t="s">
        <v>1443</v>
      </c>
    </row>
    <row r="3" spans="1:29" ht="15" customHeight="1">
      <c r="A3" s="442"/>
      <c r="B3" s="443" t="s">
        <v>198</v>
      </c>
      <c r="C3" s="443" t="s">
        <v>198</v>
      </c>
      <c r="D3" s="443" t="s">
        <v>198</v>
      </c>
      <c r="E3" s="453"/>
      <c r="F3" s="681" t="str">
        <f>IF('Mix Info'!F5="ENTER", "If you have entered aggregate %'s, please enter the % passings below.", "")</f>
        <v/>
      </c>
      <c r="G3" s="681"/>
      <c r="H3" s="681"/>
      <c r="L3" s="216"/>
      <c r="M3" s="217"/>
      <c r="N3" s="217"/>
      <c r="O3" s="217"/>
      <c r="P3" s="217"/>
      <c r="Q3" s="217"/>
      <c r="R3" s="218"/>
      <c r="U3" s="216">
        <f>B12+B13</f>
        <v>0</v>
      </c>
      <c r="V3" s="219">
        <f>MIN($D$57)</f>
        <v>0</v>
      </c>
      <c r="W3" s="219">
        <f>MAX($D$57)</f>
        <v>0</v>
      </c>
      <c r="X3" s="219">
        <f>MIN($D$57)</f>
        <v>0</v>
      </c>
      <c r="Y3" s="219">
        <f>MIN($D$57)</f>
        <v>0</v>
      </c>
      <c r="Z3" s="219">
        <f>MIN($D$57)</f>
        <v>0</v>
      </c>
      <c r="AA3" s="219">
        <f>MAX($D$57)</f>
        <v>0</v>
      </c>
      <c r="AB3" s="219">
        <f>MIN($D$57)</f>
        <v>0</v>
      </c>
      <c r="AC3" s="220">
        <f>MIN($D$57)</f>
        <v>0</v>
      </c>
    </row>
    <row r="4" spans="1:29" ht="15" customHeight="1">
      <c r="A4" s="442"/>
      <c r="B4" s="444" t="s">
        <v>1444</v>
      </c>
      <c r="C4" s="444" t="s">
        <v>1444</v>
      </c>
      <c r="D4" s="444" t="s">
        <v>1444</v>
      </c>
      <c r="F4" s="681"/>
      <c r="G4" s="681"/>
      <c r="H4" s="681"/>
      <c r="L4" s="221" t="s">
        <v>1445</v>
      </c>
      <c r="M4" s="217">
        <v>75</v>
      </c>
      <c r="N4" s="217">
        <f t="shared" ref="N4:N15" si="0">M4^0.45</f>
        <v>6.9787488376816533</v>
      </c>
      <c r="O4" s="222">
        <f>+E31</f>
        <v>0</v>
      </c>
      <c r="P4" s="222">
        <f>+F31</f>
        <v>0</v>
      </c>
      <c r="Q4" s="217"/>
      <c r="R4" s="218">
        <v>0</v>
      </c>
      <c r="S4" s="217"/>
      <c r="T4" s="218">
        <v>0</v>
      </c>
      <c r="U4" s="216">
        <f>B14+B15</f>
        <v>0</v>
      </c>
      <c r="V4" s="223">
        <f>COUNT($B$12:$B$15)</f>
        <v>1</v>
      </c>
      <c r="W4" s="223">
        <f>COUNT($B$12:$B$15)</f>
        <v>1</v>
      </c>
      <c r="X4" s="223">
        <f>COUNT($B$12:$B$15)</f>
        <v>1</v>
      </c>
      <c r="Y4" s="223">
        <f>COUNT($B$12:$B$15)</f>
        <v>1</v>
      </c>
      <c r="Z4" s="223">
        <f>COUNT($B$12:$B$13)</f>
        <v>0</v>
      </c>
      <c r="AA4" s="223">
        <f>COUNT($B$12:$B$13)</f>
        <v>0</v>
      </c>
      <c r="AB4" s="223">
        <f>COUNT($B$12:$B$13)</f>
        <v>0</v>
      </c>
      <c r="AC4" s="224">
        <f>COUNT($B$12:$B$13)</f>
        <v>0</v>
      </c>
    </row>
    <row r="5" spans="1:29" ht="15" customHeight="1">
      <c r="A5" s="442"/>
      <c r="B5" s="444" t="s">
        <v>3</v>
      </c>
      <c r="C5" s="444" t="s">
        <v>4</v>
      </c>
      <c r="D5" s="444" t="s">
        <v>1446</v>
      </c>
      <c r="F5" s="681"/>
      <c r="G5" s="681"/>
      <c r="H5" s="681"/>
      <c r="L5" s="221" t="s">
        <v>1447</v>
      </c>
      <c r="M5" s="217">
        <v>150</v>
      </c>
      <c r="N5" s="217">
        <f t="shared" si="0"/>
        <v>9.533251854051084</v>
      </c>
      <c r="O5" s="222">
        <f>+E30</f>
        <v>0</v>
      </c>
      <c r="P5" s="222">
        <f>+F30</f>
        <v>0</v>
      </c>
      <c r="Q5" s="217"/>
      <c r="R5" s="218">
        <v>18</v>
      </c>
      <c r="S5" s="217">
        <v>0</v>
      </c>
      <c r="T5" s="218">
        <v>20</v>
      </c>
      <c r="U5" s="225">
        <f t="shared" ref="U5:U13" si="1">ABS(F21-F22)</f>
        <v>0</v>
      </c>
      <c r="V5" s="223" t="b">
        <f t="shared" ref="V5:AC5" si="2">$U$3=100</f>
        <v>0</v>
      </c>
      <c r="W5" s="223" t="b">
        <f t="shared" si="2"/>
        <v>0</v>
      </c>
      <c r="X5" s="223" t="b">
        <f t="shared" si="2"/>
        <v>0</v>
      </c>
      <c r="Y5" s="217" t="b">
        <f t="shared" si="2"/>
        <v>0</v>
      </c>
      <c r="Z5" s="223" t="b">
        <f t="shared" si="2"/>
        <v>0</v>
      </c>
      <c r="AA5" s="223" t="b">
        <f t="shared" si="2"/>
        <v>0</v>
      </c>
      <c r="AB5" s="223" t="b">
        <f t="shared" si="2"/>
        <v>0</v>
      </c>
      <c r="AC5" s="224" t="b">
        <f t="shared" si="2"/>
        <v>0</v>
      </c>
    </row>
    <row r="6" spans="1:29" ht="15" customHeight="1">
      <c r="A6" s="445" t="s">
        <v>1448</v>
      </c>
      <c r="B6" s="446"/>
      <c r="C6" s="446"/>
      <c r="D6" s="446" t="s">
        <v>1449</v>
      </c>
      <c r="F6" s="681"/>
      <c r="G6" s="681"/>
      <c r="H6" s="681"/>
      <c r="L6" s="221" t="s">
        <v>1450</v>
      </c>
      <c r="M6" s="217">
        <v>300</v>
      </c>
      <c r="N6" s="217">
        <f t="shared" si="0"/>
        <v>13.02280581041226</v>
      </c>
      <c r="O6" s="222">
        <f>+E29</f>
        <v>0</v>
      </c>
      <c r="P6" s="222">
        <f>+F29</f>
        <v>0</v>
      </c>
      <c r="Q6" s="217">
        <v>0</v>
      </c>
      <c r="R6" s="218">
        <v>18</v>
      </c>
      <c r="S6" s="217">
        <v>4</v>
      </c>
      <c r="T6" s="218">
        <v>20</v>
      </c>
      <c r="U6" s="225">
        <f t="shared" si="1"/>
        <v>0</v>
      </c>
      <c r="V6" s="223" t="b">
        <f>$D$56&lt;=70</f>
        <v>0</v>
      </c>
      <c r="W6" s="223" t="b">
        <f>$B$13&lt;=55</f>
        <v>1</v>
      </c>
      <c r="X6" s="223" t="b">
        <f>$U$8&lt;=7</f>
        <v>1</v>
      </c>
      <c r="Y6" s="217" t="b">
        <f>$D$56&gt;=50</f>
        <v>1</v>
      </c>
      <c r="Z6" s="223" t="b">
        <f>$D$56&lt;=70</f>
        <v>0</v>
      </c>
      <c r="AA6" s="223" t="b">
        <f>$B$13&lt;=55</f>
        <v>1</v>
      </c>
      <c r="AB6" s="223" t="b">
        <f>$U$8&lt;=7</f>
        <v>1</v>
      </c>
      <c r="AC6" s="224" t="b">
        <f>$D$56&gt;=50</f>
        <v>1</v>
      </c>
    </row>
    <row r="7" spans="1:29" ht="15" customHeight="1">
      <c r="A7" s="447" t="s">
        <v>1445</v>
      </c>
      <c r="B7" s="448">
        <v>100</v>
      </c>
      <c r="C7" s="448">
        <v>100</v>
      </c>
      <c r="D7" s="449"/>
      <c r="F7" s="681"/>
      <c r="G7" s="681"/>
      <c r="H7" s="681"/>
      <c r="L7" s="221" t="s">
        <v>1451</v>
      </c>
      <c r="M7" s="217">
        <v>600</v>
      </c>
      <c r="N7" s="217">
        <f t="shared" si="0"/>
        <v>17.789676992918196</v>
      </c>
      <c r="O7" s="222">
        <f>+E28</f>
        <v>0</v>
      </c>
      <c r="P7" s="222">
        <f>+F28</f>
        <v>0</v>
      </c>
      <c r="Q7" s="217">
        <v>8</v>
      </c>
      <c r="R7" s="218">
        <v>18</v>
      </c>
      <c r="S7" s="217">
        <v>4</v>
      </c>
      <c r="T7" s="218">
        <v>20</v>
      </c>
      <c r="U7" s="225">
        <f t="shared" si="1"/>
        <v>0</v>
      </c>
      <c r="V7" s="223" t="b">
        <f>$B$13&lt;=55</f>
        <v>1</v>
      </c>
      <c r="W7" s="223" t="b">
        <f>$U$4=100</f>
        <v>0</v>
      </c>
      <c r="X7" s="223" t="b">
        <f>$B$13&lt;=55</f>
        <v>1</v>
      </c>
      <c r="Y7" s="217" t="b">
        <f>$B$13&lt;=55</f>
        <v>1</v>
      </c>
      <c r="Z7" s="223" t="b">
        <f>$B$13&lt;=55</f>
        <v>1</v>
      </c>
      <c r="AA7" s="223" t="b">
        <f>$F$27&gt;=8</f>
        <v>0</v>
      </c>
      <c r="AB7" s="223" t="b">
        <f>$B$13&lt;=55</f>
        <v>1</v>
      </c>
      <c r="AC7" s="224" t="b">
        <f>$B$13&lt;=55</f>
        <v>1</v>
      </c>
    </row>
    <row r="8" spans="1:29" ht="15" customHeight="1">
      <c r="A8" s="450" t="s">
        <v>1452</v>
      </c>
      <c r="B8" s="451">
        <v>90</v>
      </c>
      <c r="C8" s="451">
        <v>88</v>
      </c>
      <c r="D8" s="452"/>
      <c r="F8" s="681"/>
      <c r="G8" s="681"/>
      <c r="H8" s="681"/>
      <c r="L8" s="221" t="s">
        <v>1453</v>
      </c>
      <c r="M8" s="217">
        <v>1180</v>
      </c>
      <c r="N8" s="217">
        <f t="shared" si="0"/>
        <v>24.11831168315992</v>
      </c>
      <c r="O8" s="222">
        <f>+E27</f>
        <v>0</v>
      </c>
      <c r="P8" s="222">
        <f>+F27</f>
        <v>0</v>
      </c>
      <c r="Q8" s="217">
        <v>8</v>
      </c>
      <c r="R8" s="218">
        <v>18</v>
      </c>
      <c r="S8" s="217">
        <v>0</v>
      </c>
      <c r="T8" s="218">
        <v>12</v>
      </c>
      <c r="U8" s="225">
        <f t="shared" si="1"/>
        <v>0</v>
      </c>
      <c r="V8" s="223" t="b">
        <f>$U$4=100</f>
        <v>0</v>
      </c>
      <c r="W8" s="223" t="b">
        <f>$B$14&gt;=75</f>
        <v>0</v>
      </c>
      <c r="X8" s="223" t="b">
        <f>$U$4=100</f>
        <v>0</v>
      </c>
      <c r="Y8" s="217" t="b">
        <f>$U$4=100</f>
        <v>0</v>
      </c>
      <c r="Z8" s="223" t="b">
        <f>$D$56&gt;=50</f>
        <v>1</v>
      </c>
      <c r="AA8" s="223" t="b">
        <f>$F$27&lt;=15</f>
        <v>1</v>
      </c>
      <c r="AB8" s="223" t="b">
        <f>$U$7&lt;=7</f>
        <v>1</v>
      </c>
      <c r="AC8" s="224" t="b">
        <f>$F$24&gt;=8</f>
        <v>0</v>
      </c>
    </row>
    <row r="9" spans="1:29" ht="15" customHeight="1">
      <c r="A9" s="228"/>
      <c r="F9" s="227"/>
      <c r="L9" s="221" t="s">
        <v>1454</v>
      </c>
      <c r="M9" s="217">
        <v>2360</v>
      </c>
      <c r="N9" s="217">
        <f t="shared" si="0"/>
        <v>32.946584684146316</v>
      </c>
      <c r="O9" s="222">
        <f>+E26</f>
        <v>0</v>
      </c>
      <c r="P9" s="222">
        <f>+F26</f>
        <v>0</v>
      </c>
      <c r="Q9" s="217">
        <v>8</v>
      </c>
      <c r="R9" s="218">
        <v>18</v>
      </c>
      <c r="S9" s="217">
        <v>0</v>
      </c>
      <c r="T9" s="218">
        <v>12</v>
      </c>
      <c r="U9" s="225">
        <f t="shared" si="1"/>
        <v>0</v>
      </c>
      <c r="V9" s="223" t="b">
        <f>$B$14&gt;=75</f>
        <v>0</v>
      </c>
      <c r="W9" s="223" t="b">
        <f>$B$13&gt;=38</f>
        <v>0</v>
      </c>
      <c r="X9" s="223" t="b">
        <f>$B$14&gt;=75</f>
        <v>0</v>
      </c>
      <c r="Y9" s="217" t="b">
        <f>$B$14&gt;=75</f>
        <v>0</v>
      </c>
      <c r="Z9" s="223" t="b">
        <f>$B$12&gt;=45</f>
        <v>0</v>
      </c>
      <c r="AA9" s="223" t="b">
        <f>$B$13&gt;=38</f>
        <v>0</v>
      </c>
      <c r="AB9" s="223" t="b">
        <f>$U$5&lt;=12</f>
        <v>1</v>
      </c>
      <c r="AC9" s="224" t="b">
        <f>$F$23&lt;=15</f>
        <v>1</v>
      </c>
    </row>
    <row r="10" spans="1:29" ht="15" customHeight="1">
      <c r="B10" s="229" t="s">
        <v>1455</v>
      </c>
      <c r="E10" s="206"/>
      <c r="F10" s="227"/>
      <c r="L10" s="221" t="s">
        <v>1456</v>
      </c>
      <c r="M10" s="217">
        <v>4750</v>
      </c>
      <c r="N10" s="217">
        <f t="shared" si="0"/>
        <v>45.134862560198059</v>
      </c>
      <c r="O10" s="222">
        <f>+E25</f>
        <v>0</v>
      </c>
      <c r="P10" s="222">
        <f>+F25</f>
        <v>0</v>
      </c>
      <c r="Q10" s="217">
        <v>8</v>
      </c>
      <c r="R10" s="218">
        <v>18</v>
      </c>
      <c r="S10" s="217">
        <v>4</v>
      </c>
      <c r="T10" s="218">
        <v>20</v>
      </c>
      <c r="U10" s="225">
        <f t="shared" si="1"/>
        <v>0</v>
      </c>
      <c r="V10" s="223" t="b">
        <f>$B$13&gt;=38</f>
        <v>0</v>
      </c>
      <c r="W10" s="223" t="b">
        <f>$B$15&lt;=25</f>
        <v>1</v>
      </c>
      <c r="X10" s="223" t="b">
        <f>$B$13&gt;=38</f>
        <v>0</v>
      </c>
      <c r="Y10" s="217" t="b">
        <f>$B$13&gt;=38</f>
        <v>0</v>
      </c>
      <c r="Z10" s="223" t="b">
        <f>$B$13&gt;=38</f>
        <v>0</v>
      </c>
      <c r="AA10" s="223" t="b">
        <f>$F$28&gt;=8</f>
        <v>0</v>
      </c>
      <c r="AB10" s="223" t="b">
        <f>$B$13&gt;=38</f>
        <v>0</v>
      </c>
      <c r="AC10" s="224" t="b">
        <f>$B$13&gt;=38</f>
        <v>0</v>
      </c>
    </row>
    <row r="11" spans="1:29" ht="15" customHeight="1">
      <c r="A11" s="228"/>
      <c r="B11" s="230" t="s">
        <v>1457</v>
      </c>
      <c r="C11" s="693" t="s">
        <v>1458</v>
      </c>
      <c r="D11" s="694"/>
      <c r="E11" s="695"/>
      <c r="F11" s="696" t="s">
        <v>1257</v>
      </c>
      <c r="G11" s="696"/>
      <c r="H11" s="697"/>
      <c r="L11" s="231" t="s">
        <v>1459</v>
      </c>
      <c r="M11" s="217">
        <v>9500</v>
      </c>
      <c r="N11" s="217">
        <f t="shared" si="0"/>
        <v>61.656039240307337</v>
      </c>
      <c r="O11" s="222">
        <f>+E24</f>
        <v>0</v>
      </c>
      <c r="P11" s="222">
        <f>+F24</f>
        <v>0</v>
      </c>
      <c r="Q11" s="217">
        <v>8</v>
      </c>
      <c r="R11" s="218">
        <v>18</v>
      </c>
      <c r="S11" s="217">
        <v>4</v>
      </c>
      <c r="T11" s="218">
        <v>20</v>
      </c>
      <c r="U11" s="225">
        <f t="shared" si="1"/>
        <v>0</v>
      </c>
      <c r="V11" s="223" t="b">
        <f>$B$15&lt;=25</f>
        <v>1</v>
      </c>
      <c r="W11" s="223" t="b">
        <f>$B$12&gt;=45</f>
        <v>0</v>
      </c>
      <c r="X11" s="223" t="b">
        <f>$B$15&lt;=25</f>
        <v>1</v>
      </c>
      <c r="Y11" s="217" t="b">
        <f>$B$15&lt;=25</f>
        <v>1</v>
      </c>
      <c r="Z11" s="223" t="b">
        <f>$B$12&lt;=62</f>
        <v>1</v>
      </c>
      <c r="AA11" s="223" t="b">
        <f>$B$12&gt;=45</f>
        <v>0</v>
      </c>
      <c r="AB11" s="223" t="b">
        <f>$D$56&gt;=50</f>
        <v>1</v>
      </c>
      <c r="AC11" s="224" t="b">
        <f>$B$12&lt;=62</f>
        <v>1</v>
      </c>
    </row>
    <row r="12" spans="1:29" ht="15" customHeight="1">
      <c r="A12" s="232" t="s">
        <v>47</v>
      </c>
      <c r="B12" s="603"/>
      <c r="C12" s="684" t="str">
        <f>IF('Mix Info'!B21="","",'Mix Info'!B21)</f>
        <v/>
      </c>
      <c r="D12" s="685"/>
      <c r="E12" s="686"/>
      <c r="F12" s="698" t="str">
        <f>IF('Mix Info'!C21="","",'Mix Info'!C21)</f>
        <v/>
      </c>
      <c r="G12" s="698"/>
      <c r="H12" s="699"/>
      <c r="L12" s="231" t="s">
        <v>1460</v>
      </c>
      <c r="M12" s="217">
        <v>12500</v>
      </c>
      <c r="N12" s="217">
        <f t="shared" si="0"/>
        <v>69.760487336687731</v>
      </c>
      <c r="O12" s="222">
        <f>+E23</f>
        <v>0</v>
      </c>
      <c r="P12" s="222">
        <f>+F23</f>
        <v>0</v>
      </c>
      <c r="Q12" s="217">
        <v>8</v>
      </c>
      <c r="R12" s="218">
        <v>18</v>
      </c>
      <c r="S12" s="217">
        <v>4</v>
      </c>
      <c r="T12" s="218">
        <v>20</v>
      </c>
      <c r="U12" s="225">
        <f t="shared" si="1"/>
        <v>0</v>
      </c>
      <c r="V12" s="223" t="b">
        <f>$B$15&gt;=0</f>
        <v>1</v>
      </c>
      <c r="W12" s="223" t="b">
        <f>$B$14&lt;=100</f>
        <v>1</v>
      </c>
      <c r="X12" s="223" t="b">
        <f>$U$11&lt;=7</f>
        <v>1</v>
      </c>
      <c r="Y12" s="217" t="b">
        <f>$D$56&lt;=70</f>
        <v>0</v>
      </c>
      <c r="Z12" s="223">
        <f>{100,10000,0.000001,0.01,FALSE,FALSE,FALSE,1,1,1,0.001,TRUE}</f>
        <v>100</v>
      </c>
      <c r="AA12" s="223" t="b">
        <f>$F$29&lt;=15</f>
        <v>1</v>
      </c>
      <c r="AB12" s="223" t="b">
        <f>$U$11&lt;=7</f>
        <v>1</v>
      </c>
      <c r="AC12" s="224" t="b">
        <f>$D$56&lt;=70</f>
        <v>0</v>
      </c>
    </row>
    <row r="13" spans="1:29" ht="15" customHeight="1">
      <c r="A13" s="232" t="s">
        <v>1461</v>
      </c>
      <c r="B13" s="603"/>
      <c r="C13" s="684" t="str">
        <f>IF('Mix Info'!B19="","",'Mix Info'!B19)</f>
        <v/>
      </c>
      <c r="D13" s="685"/>
      <c r="E13" s="686"/>
      <c r="F13" s="698" t="str">
        <f>IF('Mix Info'!C19="","",'Mix Info'!C19)</f>
        <v/>
      </c>
      <c r="G13" s="698"/>
      <c r="H13" s="699"/>
      <c r="L13" s="231" t="s">
        <v>1462</v>
      </c>
      <c r="M13" s="217">
        <v>19000</v>
      </c>
      <c r="N13" s="217">
        <f t="shared" si="0"/>
        <v>84.224631674288489</v>
      </c>
      <c r="O13" s="222">
        <f>+E22</f>
        <v>0</v>
      </c>
      <c r="P13" s="222">
        <f>+F22</f>
        <v>0</v>
      </c>
      <c r="Q13" s="217">
        <v>0</v>
      </c>
      <c r="R13" s="218">
        <v>18</v>
      </c>
      <c r="S13" s="217">
        <v>0</v>
      </c>
      <c r="T13" s="218">
        <v>20</v>
      </c>
      <c r="U13" s="225">
        <f t="shared" si="1"/>
        <v>0</v>
      </c>
      <c r="V13" s="223" t="b">
        <f>$B$12&gt;=45</f>
        <v>0</v>
      </c>
      <c r="W13" s="223" t="b">
        <f>$B$12&lt;=62</f>
        <v>1</v>
      </c>
      <c r="X13" s="223" t="b">
        <f>$B$12&gt;=45</f>
        <v>0</v>
      </c>
      <c r="Y13" s="217" t="b">
        <f>$B$12&gt;=45</f>
        <v>0</v>
      </c>
      <c r="Z13" s="223"/>
      <c r="AA13" s="223" t="b">
        <f>$B$12&lt;=62</f>
        <v>1</v>
      </c>
      <c r="AB13" s="223" t="b">
        <f>$B$12&gt;=45</f>
        <v>0</v>
      </c>
      <c r="AC13" s="224" t="b">
        <f>$B$12&gt;=45</f>
        <v>0</v>
      </c>
    </row>
    <row r="14" spans="1:29" ht="15" customHeight="1">
      <c r="A14" s="232" t="s">
        <v>46</v>
      </c>
      <c r="B14" s="603"/>
      <c r="C14" s="684" t="str">
        <f>IF('Mix Info'!B17="","",'Mix Info'!B17)</f>
        <v/>
      </c>
      <c r="D14" s="685"/>
      <c r="E14" s="686"/>
      <c r="F14" s="687" t="str">
        <f>IF('Mix Info'!C17="","",'Mix Info'!C17)</f>
        <v/>
      </c>
      <c r="G14" s="687"/>
      <c r="H14" s="688"/>
      <c r="L14" s="221">
        <v>1</v>
      </c>
      <c r="M14" s="217">
        <v>25000</v>
      </c>
      <c r="N14" s="217">
        <f t="shared" si="0"/>
        <v>95.295634032720628</v>
      </c>
      <c r="O14" s="222">
        <f>+E21</f>
        <v>0</v>
      </c>
      <c r="P14" s="222">
        <f>+F21</f>
        <v>0</v>
      </c>
      <c r="Q14" s="217"/>
      <c r="R14" s="218">
        <v>18</v>
      </c>
      <c r="S14" s="217"/>
      <c r="T14" s="218">
        <v>16</v>
      </c>
      <c r="U14" s="225"/>
      <c r="V14" s="223" t="b">
        <f>$B$14&lt;=100</f>
        <v>1</v>
      </c>
      <c r="W14" s="223" t="b">
        <f>$B$15&gt;=0</f>
        <v>1</v>
      </c>
      <c r="X14" s="223" t="b">
        <f>$B$14&lt;=100</f>
        <v>1</v>
      </c>
      <c r="Y14" s="217" t="b">
        <f>$B$14&lt;=100</f>
        <v>1</v>
      </c>
      <c r="Z14" s="223"/>
      <c r="AA14" s="223" t="b">
        <f>$F$26&lt;=15</f>
        <v>1</v>
      </c>
      <c r="AB14" s="223" t="b">
        <f>$U$13&lt;=12</f>
        <v>1</v>
      </c>
      <c r="AC14" s="224">
        <f>{100,10000,0.000001,0.01,FALSE,FALSE,FALSE,1,1,1,0.001,TRUE}</f>
        <v>100</v>
      </c>
    </row>
    <row r="15" spans="1:29" ht="15" customHeight="1">
      <c r="A15" s="233" t="s">
        <v>5</v>
      </c>
      <c r="B15" s="234">
        <f>IF(AND((B12+B13+B14&lt;&gt;100), 'Mix Info'!F5="ENTER"), "", SUM(B12:B14))</f>
        <v>0</v>
      </c>
      <c r="L15" s="235" t="s">
        <v>1463</v>
      </c>
      <c r="M15" s="217">
        <v>37500</v>
      </c>
      <c r="N15" s="217">
        <f t="shared" si="0"/>
        <v>114.37051336098466</v>
      </c>
      <c r="O15" s="222">
        <f>+E20</f>
        <v>0</v>
      </c>
      <c r="P15" s="222">
        <f>+F20</f>
        <v>100</v>
      </c>
      <c r="Q15" s="217"/>
      <c r="R15" s="218">
        <v>0</v>
      </c>
      <c r="S15" s="217"/>
      <c r="T15" s="218">
        <v>0</v>
      </c>
      <c r="U15" s="225"/>
      <c r="V15" s="223" t="b">
        <f>$B$12&lt;=62</f>
        <v>1</v>
      </c>
      <c r="W15" s="223" t="b">
        <f>$F$29&gt;=5</f>
        <v>0</v>
      </c>
      <c r="X15" s="223" t="b">
        <f>$B$12&lt;=62</f>
        <v>1</v>
      </c>
      <c r="Y15" s="217" t="b">
        <f>$B$12&lt;=62</f>
        <v>1</v>
      </c>
      <c r="Z15" s="223"/>
      <c r="AA15" s="223" t="b">
        <f>$F$29&gt;=5</f>
        <v>0</v>
      </c>
      <c r="AB15" s="223" t="b">
        <f>$B$12&lt;=62</f>
        <v>1</v>
      </c>
      <c r="AC15" s="224"/>
    </row>
    <row r="16" spans="1:29" ht="15" customHeight="1">
      <c r="G16" s="689" t="s">
        <v>1464</v>
      </c>
      <c r="H16" s="690"/>
      <c r="I16" s="690"/>
      <c r="L16" s="216"/>
      <c r="M16" s="217"/>
      <c r="N16" s="217"/>
      <c r="O16" s="217">
        <f>N13</f>
        <v>84.224631674288489</v>
      </c>
      <c r="P16" s="217">
        <v>100</v>
      </c>
      <c r="Q16" s="217"/>
      <c r="R16" s="218"/>
      <c r="U16" s="216"/>
      <c r="V16" s="223" t="b">
        <f>$D$56&gt;=50</f>
        <v>1</v>
      </c>
      <c r="W16" s="223" t="b">
        <f>$F$22&gt;=5</f>
        <v>0</v>
      </c>
      <c r="X16" s="223" t="b">
        <f>$B$15&gt;=0</f>
        <v>1</v>
      </c>
      <c r="Y16" s="217" t="b">
        <f>$B$15&gt;=0</f>
        <v>1</v>
      </c>
      <c r="Z16" s="223"/>
      <c r="AA16" s="223" t="b">
        <f>$F$22&gt;=5</f>
        <v>0</v>
      </c>
      <c r="AB16" s="223" t="b">
        <f>$U$6&lt;=7</f>
        <v>1</v>
      </c>
      <c r="AC16" s="224"/>
    </row>
    <row r="17" spans="1:30" ht="15" customHeight="1">
      <c r="B17" s="236" t="s">
        <v>198</v>
      </c>
      <c r="C17" s="236" t="s">
        <v>198</v>
      </c>
      <c r="D17" s="236" t="s">
        <v>198</v>
      </c>
      <c r="E17" s="236" t="s">
        <v>198</v>
      </c>
      <c r="F17" s="237" t="s">
        <v>198</v>
      </c>
      <c r="G17" s="236" t="s">
        <v>198</v>
      </c>
      <c r="H17" s="236" t="s">
        <v>198</v>
      </c>
      <c r="I17" s="237" t="s">
        <v>198</v>
      </c>
      <c r="L17" s="238"/>
      <c r="M17" s="239"/>
      <c r="N17" s="239"/>
      <c r="O17" s="239">
        <v>0</v>
      </c>
      <c r="P17" s="239">
        <v>0</v>
      </c>
      <c r="Q17" s="239"/>
      <c r="R17" s="240"/>
      <c r="V17" s="216"/>
      <c r="W17" s="223">
        <f>{100,10000,0.000001,0.01,FALSE,FALSE,FALSE,1,1,1,0.001,TRUE}</f>
        <v>100</v>
      </c>
      <c r="X17" s="223" t="b">
        <f>$F$28&lt;=15</f>
        <v>1</v>
      </c>
      <c r="Y17" s="223" t="b">
        <f>$U$10&lt;=7</f>
        <v>1</v>
      </c>
      <c r="Z17" s="217" t="b">
        <f>$F$23&lt;=15</f>
        <v>1</v>
      </c>
      <c r="AA17" s="223"/>
      <c r="AB17" s="223" t="b">
        <f>$F$28&lt;=15</f>
        <v>1</v>
      </c>
      <c r="AC17" s="223" t="b">
        <f>$U$10&lt;=7</f>
        <v>1</v>
      </c>
      <c r="AD17" s="224"/>
    </row>
    <row r="18" spans="1:30" ht="15" customHeight="1">
      <c r="A18" s="241"/>
      <c r="B18" s="242" t="s">
        <v>1444</v>
      </c>
      <c r="C18" s="242" t="s">
        <v>1444</v>
      </c>
      <c r="D18" s="242" t="s">
        <v>1444</v>
      </c>
      <c r="E18" s="242" t="s">
        <v>1444</v>
      </c>
      <c r="F18" s="243" t="s">
        <v>1465</v>
      </c>
      <c r="G18" s="242" t="s">
        <v>1444</v>
      </c>
      <c r="H18" s="242" t="s">
        <v>1444</v>
      </c>
      <c r="I18" s="243" t="s">
        <v>1465</v>
      </c>
      <c r="O18" s="205">
        <f>N14</f>
        <v>95.295634032720628</v>
      </c>
      <c r="P18" s="205">
        <v>100</v>
      </c>
      <c r="V18" s="216"/>
      <c r="W18" s="223"/>
      <c r="X18" s="223" t="b">
        <f>$F$23&gt;=8</f>
        <v>0</v>
      </c>
      <c r="Y18" s="223" t="b">
        <f>$U$12&lt;=7</f>
        <v>1</v>
      </c>
      <c r="Z18" s="217" t="b">
        <f>$F$24&gt;=8</f>
        <v>0</v>
      </c>
      <c r="AA18" s="223"/>
      <c r="AB18" s="223" t="b">
        <f>$F$23&gt;=8</f>
        <v>0</v>
      </c>
      <c r="AC18" s="223" t="b">
        <f>$U$12&lt;=7</f>
        <v>1</v>
      </c>
      <c r="AD18" s="224"/>
    </row>
    <row r="19" spans="1:30" ht="15" customHeight="1">
      <c r="A19" s="244" t="s">
        <v>1448</v>
      </c>
      <c r="B19" s="226" t="s">
        <v>1466</v>
      </c>
      <c r="C19" s="226" t="s">
        <v>1467</v>
      </c>
      <c r="D19" s="226" t="s">
        <v>1468</v>
      </c>
      <c r="E19" s="245" t="s">
        <v>1469</v>
      </c>
      <c r="F19" s="246" t="s">
        <v>1469</v>
      </c>
      <c r="G19" s="226" t="s">
        <v>1470</v>
      </c>
      <c r="H19" s="246" t="s">
        <v>1471</v>
      </c>
      <c r="I19" s="246" t="s">
        <v>1471</v>
      </c>
      <c r="L19" s="205" t="s">
        <v>1472</v>
      </c>
      <c r="O19" s="205">
        <v>0</v>
      </c>
      <c r="P19" s="205">
        <v>0</v>
      </c>
      <c r="V19" s="216"/>
      <c r="W19" s="223"/>
      <c r="X19" s="223" t="b">
        <f>$F$22&lt;=15</f>
        <v>1</v>
      </c>
      <c r="Y19" s="223" t="b">
        <f>$D$56&lt;=70</f>
        <v>0</v>
      </c>
      <c r="Z19" s="223">
        <f>{100,10000,0.000001,0.01,FALSE,FALSE,FALSE,1,1,1,0.001,TRUE}</f>
        <v>100</v>
      </c>
      <c r="AA19" s="223"/>
      <c r="AB19" s="223" t="b">
        <f>$F$22&lt;=15</f>
        <v>1</v>
      </c>
      <c r="AC19" s="223" t="b">
        <f>$D$56&lt;=70</f>
        <v>0</v>
      </c>
      <c r="AD19" s="224"/>
    </row>
    <row r="20" spans="1:30" ht="15" customHeight="1">
      <c r="A20" s="247" t="s">
        <v>1473</v>
      </c>
      <c r="B20" s="248"/>
      <c r="C20" s="249" t="str">
        <f>IF($B$15=0,"0.0",100)</f>
        <v>0.0</v>
      </c>
      <c r="D20" s="250">
        <v>100</v>
      </c>
      <c r="E20" s="251">
        <f t="shared" ref="E20:E31" si="3">((B20*$B$12/100+C20*$B$13/100+D20*$B$14/100))</f>
        <v>0</v>
      </c>
      <c r="F20" s="252">
        <f>100-E20</f>
        <v>100</v>
      </c>
      <c r="G20" s="250">
        <v>100</v>
      </c>
      <c r="H20" s="428"/>
      <c r="I20" s="254">
        <f>100-H20</f>
        <v>100</v>
      </c>
      <c r="L20" s="255">
        <f>+D56</f>
        <v>100</v>
      </c>
      <c r="M20" s="256">
        <f>+D57</f>
        <v>0</v>
      </c>
      <c r="N20" s="211"/>
      <c r="O20" s="205">
        <f>N15</f>
        <v>114.37051336098466</v>
      </c>
      <c r="P20" s="205">
        <v>100</v>
      </c>
      <c r="V20" s="216"/>
      <c r="W20" s="223"/>
      <c r="X20" s="223" t="b">
        <f>$F$25&gt;=8</f>
        <v>0</v>
      </c>
      <c r="Y20" s="223" t="b">
        <f>$U$9&lt;=7</f>
        <v>1</v>
      </c>
      <c r="Z20" s="217"/>
      <c r="AA20" s="223"/>
      <c r="AB20" s="223" t="b">
        <f>$F$25&gt;=8</f>
        <v>0</v>
      </c>
      <c r="AC20" s="223" t="b">
        <f>$U$9&lt;=7</f>
        <v>1</v>
      </c>
      <c r="AD20" s="224"/>
    </row>
    <row r="21" spans="1:30" ht="15" customHeight="1">
      <c r="A21" s="257" t="s">
        <v>1474</v>
      </c>
      <c r="B21" s="248"/>
      <c r="C21" s="249" t="str">
        <f>IF($B$15=0,"0.0",100)</f>
        <v>0.0</v>
      </c>
      <c r="D21" s="258">
        <v>100</v>
      </c>
      <c r="E21" s="253">
        <f t="shared" si="3"/>
        <v>0</v>
      </c>
      <c r="F21" s="259">
        <f t="shared" ref="F21:F31" si="4">E20-E21</f>
        <v>0</v>
      </c>
      <c r="G21" s="249">
        <v>100</v>
      </c>
      <c r="H21" s="428"/>
      <c r="I21" s="260">
        <f t="shared" ref="I21:I30" si="5">H20-H21</f>
        <v>0</v>
      </c>
      <c r="L21" s="261">
        <v>36</v>
      </c>
      <c r="M21" s="261">
        <v>45</v>
      </c>
      <c r="N21" s="261"/>
      <c r="O21" s="205">
        <v>0</v>
      </c>
      <c r="P21" s="205">
        <v>0</v>
      </c>
      <c r="V21" s="216"/>
      <c r="W21" s="223"/>
      <c r="X21" s="223" t="b">
        <f>$F$23&lt;=15</f>
        <v>1</v>
      </c>
      <c r="Y21" s="223" t="b">
        <f>$U$7&lt;=7</f>
        <v>1</v>
      </c>
      <c r="Z21" s="217"/>
      <c r="AA21" s="223"/>
      <c r="AB21" s="223" t="b">
        <f>$F$23&lt;=15</f>
        <v>1</v>
      </c>
      <c r="AC21" s="223">
        <f>{100,10000,0.000001,0.01,FALSE,FALSE,FALSE,1,1,1,0.001,TRUE}</f>
        <v>100</v>
      </c>
      <c r="AD21" s="224"/>
    </row>
    <row r="22" spans="1:30" ht="15" customHeight="1">
      <c r="A22" s="257" t="s">
        <v>1475</v>
      </c>
      <c r="B22" s="248"/>
      <c r="C22" s="249" t="str">
        <f>IF($B$15=0,"0.0",100)</f>
        <v>0.0</v>
      </c>
      <c r="D22" s="249">
        <v>100</v>
      </c>
      <c r="E22" s="253">
        <f t="shared" si="3"/>
        <v>0</v>
      </c>
      <c r="F22" s="259">
        <f t="shared" si="4"/>
        <v>0</v>
      </c>
      <c r="G22" s="249">
        <v>100</v>
      </c>
      <c r="H22" s="428"/>
      <c r="I22" s="260">
        <f t="shared" si="5"/>
        <v>0</v>
      </c>
      <c r="L22" s="261">
        <v>100</v>
      </c>
      <c r="M22" s="261">
        <v>36</v>
      </c>
      <c r="N22" s="261"/>
      <c r="V22" s="216"/>
      <c r="W22" s="223"/>
      <c r="X22" s="223" t="b">
        <f>$F$24&gt;=8</f>
        <v>0</v>
      </c>
      <c r="Y22" s="223" t="b">
        <f>$U$6&lt;=7</f>
        <v>1</v>
      </c>
      <c r="Z22" s="217"/>
      <c r="AA22" s="223"/>
      <c r="AB22" s="223" t="b">
        <f>$F$24&gt;=8</f>
        <v>0</v>
      </c>
      <c r="AC22" s="223"/>
      <c r="AD22" s="218"/>
    </row>
    <row r="23" spans="1:30" ht="15" customHeight="1">
      <c r="A23" s="257" t="s">
        <v>1476</v>
      </c>
      <c r="B23" s="248"/>
      <c r="C23" s="248"/>
      <c r="D23" s="248"/>
      <c r="E23" s="253">
        <f t="shared" si="3"/>
        <v>0</v>
      </c>
      <c r="F23" s="259">
        <f t="shared" si="4"/>
        <v>0</v>
      </c>
      <c r="G23" s="249">
        <v>100</v>
      </c>
      <c r="H23" s="428"/>
      <c r="I23" s="260">
        <f t="shared" si="5"/>
        <v>0</v>
      </c>
      <c r="L23" s="261">
        <v>45</v>
      </c>
      <c r="M23" s="261">
        <v>38.6</v>
      </c>
      <c r="N23" s="261"/>
      <c r="V23" s="216"/>
      <c r="W23" s="223"/>
      <c r="X23" s="223" t="b">
        <f>$F$24&lt;=15</f>
        <v>1</v>
      </c>
      <c r="Y23" s="223" t="b">
        <f>$D$56&gt;=50</f>
        <v>1</v>
      </c>
      <c r="Z23" s="217"/>
      <c r="AA23" s="223"/>
      <c r="AB23" s="223" t="b">
        <f>$F$24&lt;=15</f>
        <v>1</v>
      </c>
      <c r="AC23" s="223"/>
      <c r="AD23" s="218"/>
    </row>
    <row r="24" spans="1:30" ht="15" customHeight="1">
      <c r="A24" s="257" t="s">
        <v>1477</v>
      </c>
      <c r="B24" s="248"/>
      <c r="C24" s="248"/>
      <c r="D24" s="248"/>
      <c r="E24" s="253">
        <f t="shared" si="3"/>
        <v>0</v>
      </c>
      <c r="F24" s="259">
        <f t="shared" si="4"/>
        <v>0</v>
      </c>
      <c r="G24" s="249">
        <v>100</v>
      </c>
      <c r="H24" s="428"/>
      <c r="I24" s="260">
        <f t="shared" si="5"/>
        <v>0</v>
      </c>
      <c r="L24" s="261">
        <v>72</v>
      </c>
      <c r="M24" s="261">
        <v>34.805</v>
      </c>
      <c r="N24" s="261"/>
      <c r="V24" s="216"/>
      <c r="W24" s="223"/>
      <c r="X24" s="223" t="b">
        <f>$F$26&gt;=8</f>
        <v>0</v>
      </c>
      <c r="Y24" s="223" t="b">
        <f>$U$5&lt;=12</f>
        <v>1</v>
      </c>
      <c r="Z24" s="217"/>
      <c r="AA24" s="223"/>
      <c r="AB24" s="223" t="b">
        <f>$F$26&gt;=8</f>
        <v>0</v>
      </c>
      <c r="AC24" s="223"/>
      <c r="AD24" s="218"/>
    </row>
    <row r="25" spans="1:30" ht="15" customHeight="1">
      <c r="A25" s="257" t="s">
        <v>1456</v>
      </c>
      <c r="B25" s="248"/>
      <c r="C25" s="248"/>
      <c r="D25" s="248"/>
      <c r="E25" s="253">
        <f t="shared" si="3"/>
        <v>0</v>
      </c>
      <c r="F25" s="259">
        <f t="shared" si="4"/>
        <v>0</v>
      </c>
      <c r="G25" s="249">
        <v>100</v>
      </c>
      <c r="H25" s="428"/>
      <c r="I25" s="260">
        <f t="shared" si="5"/>
        <v>0</v>
      </c>
      <c r="L25" s="261">
        <v>45</v>
      </c>
      <c r="M25" s="261">
        <v>37.1</v>
      </c>
      <c r="N25" s="261"/>
      <c r="V25" s="216"/>
      <c r="W25" s="223"/>
      <c r="X25" s="223" t="b">
        <f>$F$25&lt;=15</f>
        <v>1</v>
      </c>
      <c r="Y25" s="223" t="b">
        <f>$U$13&lt;=12</f>
        <v>1</v>
      </c>
      <c r="Z25" s="217"/>
      <c r="AA25" s="223"/>
      <c r="AB25" s="223" t="b">
        <f>$F$25&lt;=15</f>
        <v>1</v>
      </c>
      <c r="AC25" s="223"/>
      <c r="AD25" s="218"/>
    </row>
    <row r="26" spans="1:30" ht="15" customHeight="1">
      <c r="A26" s="257" t="s">
        <v>1454</v>
      </c>
      <c r="B26" s="248"/>
      <c r="C26" s="248"/>
      <c r="D26" s="248"/>
      <c r="E26" s="253">
        <f t="shared" si="3"/>
        <v>0</v>
      </c>
      <c r="F26" s="259">
        <f t="shared" si="4"/>
        <v>0</v>
      </c>
      <c r="G26" s="249">
        <v>100</v>
      </c>
      <c r="H26" s="428"/>
      <c r="I26" s="260">
        <f t="shared" si="5"/>
        <v>0</v>
      </c>
      <c r="L26" s="261">
        <v>75</v>
      </c>
      <c r="M26" s="261">
        <v>32.880000000000003</v>
      </c>
      <c r="N26" s="261"/>
      <c r="V26" s="238"/>
      <c r="W26" s="262"/>
      <c r="X26" s="262" t="b">
        <f>$F$27&gt;=8</f>
        <v>0</v>
      </c>
      <c r="Y26" s="262">
        <f>{100,10000,0.000001,0.01,FALSE,FALSE,FALSE,1,1,1,0.001,TRUE}</f>
        <v>100</v>
      </c>
      <c r="Z26" s="239"/>
      <c r="AA26" s="262"/>
      <c r="AB26" s="262">
        <f>{100,10000,0.000001,0.01,FALSE,FALSE,FALSE,1,1,1,0.001,TRUE}</f>
        <v>100</v>
      </c>
      <c r="AC26" s="262"/>
      <c r="AD26" s="240"/>
    </row>
    <row r="27" spans="1:30" ht="15" customHeight="1">
      <c r="A27" s="257" t="s">
        <v>1453</v>
      </c>
      <c r="B27" s="263">
        <f>B26-($B$26-$B$31)/5</f>
        <v>0</v>
      </c>
      <c r="C27" s="263" t="str">
        <f>IF($B$15=0,"0.0",C26-($C$26-$C$31)/5)</f>
        <v>0.0</v>
      </c>
      <c r="D27" s="248"/>
      <c r="E27" s="253">
        <f t="shared" si="3"/>
        <v>0</v>
      </c>
      <c r="F27" s="259">
        <f t="shared" si="4"/>
        <v>0</v>
      </c>
      <c r="G27" s="249">
        <v>100</v>
      </c>
      <c r="H27" s="428"/>
      <c r="I27" s="260">
        <f t="shared" si="5"/>
        <v>0</v>
      </c>
      <c r="L27" s="261">
        <v>45</v>
      </c>
      <c r="M27" s="261">
        <v>34.9</v>
      </c>
      <c r="N27" s="261"/>
      <c r="W27" s="207"/>
      <c r="X27" s="207" t="b">
        <f>$F$26&lt;=15</f>
        <v>1</v>
      </c>
      <c r="Y27" s="207"/>
      <c r="AA27" s="207"/>
      <c r="AC27" s="207"/>
    </row>
    <row r="28" spans="1:30" ht="15" customHeight="1">
      <c r="A28" s="257" t="s">
        <v>1451</v>
      </c>
      <c r="B28" s="263">
        <f>B27-($B$26-$B$31)/5</f>
        <v>0</v>
      </c>
      <c r="C28" s="263" t="str">
        <f>IF($B$15=0,"0.0",C27-($C$26-$C$31)/5)</f>
        <v>0.0</v>
      </c>
      <c r="D28" s="248"/>
      <c r="E28" s="253">
        <f t="shared" si="3"/>
        <v>0</v>
      </c>
      <c r="F28" s="259">
        <f t="shared" si="4"/>
        <v>0</v>
      </c>
      <c r="G28" s="249">
        <v>100</v>
      </c>
      <c r="H28" s="428"/>
      <c r="I28" s="260">
        <f t="shared" si="5"/>
        <v>0</v>
      </c>
      <c r="L28" s="261">
        <v>72</v>
      </c>
      <c r="M28" s="261">
        <v>31.105</v>
      </c>
      <c r="N28" s="261"/>
      <c r="W28" s="207"/>
      <c r="X28" s="207" t="b">
        <f>$F$28&gt;=8</f>
        <v>0</v>
      </c>
      <c r="Y28" s="207"/>
      <c r="AA28" s="207"/>
      <c r="AB28" s="207"/>
      <c r="AC28" s="207"/>
    </row>
    <row r="29" spans="1:30" ht="15" customHeight="1">
      <c r="A29" s="257" t="s">
        <v>1450</v>
      </c>
      <c r="B29" s="263">
        <f>B28-($B$26-$B$31)/5</f>
        <v>0</v>
      </c>
      <c r="C29" s="263" t="str">
        <f>IF($B$15=0,"0.0",C28-($C$26-$C$31)/5)</f>
        <v>0.0</v>
      </c>
      <c r="D29" s="248"/>
      <c r="E29" s="253">
        <f t="shared" si="3"/>
        <v>0</v>
      </c>
      <c r="F29" s="259">
        <f t="shared" si="4"/>
        <v>0</v>
      </c>
      <c r="G29" s="249">
        <v>100</v>
      </c>
      <c r="H29" s="428"/>
      <c r="I29" s="260">
        <f t="shared" si="5"/>
        <v>0</v>
      </c>
      <c r="L29" s="261">
        <v>45</v>
      </c>
      <c r="M29" s="261">
        <v>33.6</v>
      </c>
      <c r="N29" s="261"/>
      <c r="W29" s="207"/>
      <c r="X29" s="207" t="b">
        <f>$F$27&lt;=15</f>
        <v>1</v>
      </c>
      <c r="Y29" s="207"/>
      <c r="AA29" s="207"/>
      <c r="AB29" s="207"/>
      <c r="AC29" s="207"/>
    </row>
    <row r="30" spans="1:30" ht="15" customHeight="1">
      <c r="A30" s="257" t="s">
        <v>1447</v>
      </c>
      <c r="B30" s="263">
        <f>B29-($B$26-$B$31)/5</f>
        <v>0</v>
      </c>
      <c r="C30" s="263" t="str">
        <f>IF($B$15=0,"0.0",C29-($C$26-$C$31)/5)</f>
        <v>0.0</v>
      </c>
      <c r="D30" s="248"/>
      <c r="E30" s="253">
        <f t="shared" si="3"/>
        <v>0</v>
      </c>
      <c r="F30" s="259">
        <f t="shared" si="4"/>
        <v>0</v>
      </c>
      <c r="G30" s="249">
        <v>100</v>
      </c>
      <c r="H30" s="428"/>
      <c r="I30" s="260">
        <f t="shared" si="5"/>
        <v>0</v>
      </c>
      <c r="L30" s="261">
        <v>72</v>
      </c>
      <c r="M30" s="261">
        <v>29.805</v>
      </c>
      <c r="N30" s="261"/>
      <c r="W30" s="207"/>
      <c r="X30" s="207" t="b">
        <f>$F$29&lt;=15</f>
        <v>1</v>
      </c>
      <c r="Y30" s="207"/>
      <c r="AA30" s="207"/>
      <c r="AB30" s="207"/>
      <c r="AC30" s="207"/>
    </row>
    <row r="31" spans="1:30" ht="15" customHeight="1">
      <c r="A31" s="257" t="s">
        <v>1445</v>
      </c>
      <c r="B31" s="248"/>
      <c r="C31" s="248"/>
      <c r="D31" s="248"/>
      <c r="E31" s="253">
        <f t="shared" si="3"/>
        <v>0</v>
      </c>
      <c r="F31" s="259">
        <f t="shared" si="4"/>
        <v>0</v>
      </c>
      <c r="G31" s="264"/>
      <c r="H31" s="253"/>
      <c r="I31" s="260">
        <f>H30-H31</f>
        <v>0</v>
      </c>
      <c r="L31" s="261">
        <v>0</v>
      </c>
      <c r="M31" s="261">
        <v>37.1</v>
      </c>
      <c r="N31" s="261">
        <f t="shared" ref="N31:N38" si="6">M31-2</f>
        <v>35.1</v>
      </c>
      <c r="W31" s="207"/>
      <c r="X31" s="207">
        <f>{100,10000,0.000001,0.01,FALSE,FALSE,FALSE,1,1,1,0.001,TRUE}</f>
        <v>100</v>
      </c>
      <c r="Y31" s="207"/>
      <c r="AA31" s="207"/>
      <c r="AB31" s="207"/>
      <c r="AC31" s="207"/>
    </row>
    <row r="32" spans="1:30" ht="15" customHeight="1">
      <c r="A32" s="429" t="s">
        <v>1452</v>
      </c>
      <c r="B32" s="430" t="s">
        <v>1478</v>
      </c>
      <c r="C32" s="431" t="s">
        <v>1478</v>
      </c>
      <c r="D32" s="430" t="s">
        <v>1478</v>
      </c>
      <c r="E32" s="432" t="s">
        <v>1478</v>
      </c>
      <c r="F32" s="432" t="s">
        <v>1478</v>
      </c>
      <c r="G32" s="433"/>
      <c r="H32" s="434"/>
      <c r="I32" s="435">
        <f>H31-H32</f>
        <v>0</v>
      </c>
      <c r="L32" s="261">
        <v>10</v>
      </c>
      <c r="M32" s="261">
        <v>37.1</v>
      </c>
      <c r="N32" s="261">
        <f t="shared" si="6"/>
        <v>35.1</v>
      </c>
      <c r="X32" s="205"/>
      <c r="Y32" s="207"/>
    </row>
    <row r="33" spans="1:25" ht="15" customHeight="1">
      <c r="A33" s="436" t="s">
        <v>1479</v>
      </c>
      <c r="B33" s="437" t="s">
        <v>1478</v>
      </c>
      <c r="C33" s="438" t="s">
        <v>1478</v>
      </c>
      <c r="D33" s="437" t="s">
        <v>1478</v>
      </c>
      <c r="E33" s="439" t="s">
        <v>1478</v>
      </c>
      <c r="F33" s="439" t="s">
        <v>1478</v>
      </c>
      <c r="G33" s="440"/>
      <c r="H33" s="441"/>
      <c r="I33" s="441">
        <f>H32-H33</f>
        <v>0</v>
      </c>
      <c r="L33" s="261">
        <v>20</v>
      </c>
      <c r="M33" s="261">
        <v>36.5</v>
      </c>
      <c r="N33" s="261">
        <f t="shared" si="6"/>
        <v>34.5</v>
      </c>
      <c r="X33" s="205"/>
      <c r="Y33" s="207"/>
    </row>
    <row r="34" spans="1:25" ht="15" customHeight="1">
      <c r="E34" s="267"/>
      <c r="F34" s="267">
        <f>SUM(F20:F31)+E31</f>
        <v>100</v>
      </c>
      <c r="G34" s="267"/>
      <c r="H34" s="267"/>
      <c r="I34" s="267">
        <f>SUM(I20:I33)+H33</f>
        <v>100</v>
      </c>
      <c r="L34" s="261">
        <v>30</v>
      </c>
      <c r="M34" s="261">
        <v>34.950000000000003</v>
      </c>
      <c r="N34" s="261">
        <f t="shared" si="6"/>
        <v>32.950000000000003</v>
      </c>
      <c r="X34" s="205"/>
      <c r="Y34" s="207"/>
    </row>
    <row r="35" spans="1:25" ht="15" customHeight="1">
      <c r="L35" s="261">
        <v>75</v>
      </c>
      <c r="M35" s="261">
        <v>28.65</v>
      </c>
      <c r="N35" s="261">
        <f t="shared" si="6"/>
        <v>26.65</v>
      </c>
    </row>
    <row r="36" spans="1:25" ht="15" customHeight="1">
      <c r="B36" s="689" t="s">
        <v>1464</v>
      </c>
      <c r="C36" s="689"/>
      <c r="D36" s="689"/>
      <c r="E36" s="689"/>
      <c r="F36" s="689"/>
      <c r="G36" s="689"/>
      <c r="H36" s="689"/>
      <c r="L36" s="261">
        <v>81.349999999999994</v>
      </c>
      <c r="M36" s="261">
        <v>27.43</v>
      </c>
      <c r="N36" s="261">
        <f t="shared" si="6"/>
        <v>25.43</v>
      </c>
    </row>
    <row r="37" spans="1:25" ht="15" customHeight="1">
      <c r="B37" s="691" t="s">
        <v>1466</v>
      </c>
      <c r="C37" s="692"/>
      <c r="D37" s="691" t="s">
        <v>1467</v>
      </c>
      <c r="E37" s="692"/>
      <c r="F37" s="268" t="s">
        <v>5</v>
      </c>
      <c r="G37" s="268" t="s">
        <v>1480</v>
      </c>
      <c r="H37" s="268" t="s">
        <v>1468</v>
      </c>
      <c r="L37" s="261">
        <v>90</v>
      </c>
      <c r="M37" s="261">
        <v>27</v>
      </c>
      <c r="N37" s="261">
        <f t="shared" si="6"/>
        <v>25</v>
      </c>
    </row>
    <row r="38" spans="1:25" ht="15" customHeight="1">
      <c r="A38" s="206"/>
      <c r="B38" s="269" t="s">
        <v>1481</v>
      </c>
      <c r="C38" s="270" t="s">
        <v>1482</v>
      </c>
      <c r="D38" s="271" t="s">
        <v>1481</v>
      </c>
      <c r="E38" s="270" t="s">
        <v>1482</v>
      </c>
      <c r="F38" s="270" t="s">
        <v>1482</v>
      </c>
      <c r="G38" s="270" t="s">
        <v>1482</v>
      </c>
      <c r="H38" s="270" t="s">
        <v>1482</v>
      </c>
      <c r="L38" s="261">
        <v>100</v>
      </c>
      <c r="M38" s="261">
        <v>27</v>
      </c>
      <c r="N38" s="261">
        <f t="shared" si="6"/>
        <v>25</v>
      </c>
    </row>
    <row r="39" spans="1:25" ht="15" customHeight="1">
      <c r="A39" s="272" t="s">
        <v>1448</v>
      </c>
      <c r="B39" s="273" t="s">
        <v>1483</v>
      </c>
      <c r="C39" s="274" t="s">
        <v>1484</v>
      </c>
      <c r="D39" s="273" t="s">
        <v>1483</v>
      </c>
      <c r="E39" s="273" t="s">
        <v>1484</v>
      </c>
      <c r="F39" s="273" t="s">
        <v>1484</v>
      </c>
      <c r="G39" s="273" t="s">
        <v>1484</v>
      </c>
      <c r="H39" s="273" t="s">
        <v>1484</v>
      </c>
      <c r="L39" s="205">
        <v>45</v>
      </c>
      <c r="M39" s="205">
        <v>40.31</v>
      </c>
    </row>
    <row r="40" spans="1:25" ht="15" customHeight="1">
      <c r="A40" s="247" t="s">
        <v>1473</v>
      </c>
      <c r="B40" s="275">
        <f>100-B20</f>
        <v>100</v>
      </c>
      <c r="C40" s="259">
        <f>'Lab Mix Design'!$K$46*'QMC Gradation'!B40/100</f>
        <v>0</v>
      </c>
      <c r="D40" s="259" t="str">
        <f>IF(B$15=0,"0.0","-")</f>
        <v>0.0</v>
      </c>
      <c r="E40" s="251" t="str">
        <f>IF(B$15=0,"0.0","-")</f>
        <v>0.0</v>
      </c>
      <c r="F40" s="253">
        <f>C40</f>
        <v>0</v>
      </c>
      <c r="G40" s="251" t="s">
        <v>1478</v>
      </c>
      <c r="H40" s="253" t="s">
        <v>1478</v>
      </c>
      <c r="L40" s="205">
        <v>72</v>
      </c>
      <c r="M40" s="205">
        <v>36.515000000000001</v>
      </c>
    </row>
    <row r="41" spans="1:25" ht="15" customHeight="1">
      <c r="A41" s="257" t="s">
        <v>1474</v>
      </c>
      <c r="B41" s="275">
        <f t="shared" ref="B41:B50" si="7">B20-B21</f>
        <v>0</v>
      </c>
      <c r="C41" s="259">
        <f>'Lab Mix Design'!$K$46*'QMC Gradation'!B41/100</f>
        <v>0</v>
      </c>
      <c r="D41" s="259" t="str">
        <f>IF(B$15=0,"0.0","-")</f>
        <v>0.0</v>
      </c>
      <c r="E41" s="253" t="str">
        <f>IF(B$15=0,"0.0","-")</f>
        <v>0.0</v>
      </c>
      <c r="F41" s="253">
        <f>C41</f>
        <v>0</v>
      </c>
      <c r="G41" s="253" t="s">
        <v>1478</v>
      </c>
      <c r="H41" s="253" t="s">
        <v>1478</v>
      </c>
      <c r="L41" s="205">
        <v>45</v>
      </c>
      <c r="M41" s="205">
        <v>42.02</v>
      </c>
    </row>
    <row r="42" spans="1:25" ht="15" customHeight="1">
      <c r="A42" s="257" t="s">
        <v>1475</v>
      </c>
      <c r="B42" s="275">
        <f t="shared" si="7"/>
        <v>0</v>
      </c>
      <c r="C42" s="259">
        <f>'Lab Mix Design'!$K$46*'QMC Gradation'!B42/100</f>
        <v>0</v>
      </c>
      <c r="D42" s="259" t="str">
        <f>IF(B$15=0,"0.0","-")</f>
        <v>0.0</v>
      </c>
      <c r="E42" s="253" t="str">
        <f>IF(B$15=0,"0.0","-")</f>
        <v>0.0</v>
      </c>
      <c r="F42" s="253">
        <f>C42</f>
        <v>0</v>
      </c>
      <c r="G42" s="253" t="s">
        <v>1478</v>
      </c>
      <c r="H42" s="253" t="s">
        <v>1478</v>
      </c>
      <c r="L42" s="205">
        <v>72</v>
      </c>
      <c r="M42" s="205">
        <v>38.225000000000001</v>
      </c>
    </row>
    <row r="43" spans="1:25" ht="15" customHeight="1">
      <c r="A43" s="257" t="s">
        <v>1476</v>
      </c>
      <c r="B43" s="275">
        <f t="shared" si="7"/>
        <v>0</v>
      </c>
      <c r="C43" s="259">
        <f>'Lab Mix Design'!$K$46*'QMC Gradation'!B43/100</f>
        <v>0</v>
      </c>
      <c r="D43" s="259" t="str">
        <f t="shared" ref="D43:D51" si="8">IF(B$15=0,"0.0",C22-C23)</f>
        <v>0.0</v>
      </c>
      <c r="E43" s="253">
        <f>IF(D43="","",D43*'Lab Mix Design'!$K$44/100)</f>
        <v>0</v>
      </c>
      <c r="F43" s="253">
        <f t="shared" ref="F43:F52" si="9">C43+E43</f>
        <v>0</v>
      </c>
      <c r="G43" s="253">
        <f>SUM(F40:F43)</f>
        <v>0</v>
      </c>
      <c r="H43" s="253" t="s">
        <v>1478</v>
      </c>
      <c r="L43" s="205">
        <v>72</v>
      </c>
      <c r="M43" s="205">
        <v>29.8</v>
      </c>
    </row>
    <row r="44" spans="1:25" ht="15" customHeight="1">
      <c r="A44" s="257" t="s">
        <v>1477</v>
      </c>
      <c r="B44" s="275">
        <f t="shared" si="7"/>
        <v>0</v>
      </c>
      <c r="C44" s="259">
        <f>'Lab Mix Design'!$K$46*'QMC Gradation'!B44/100</f>
        <v>0</v>
      </c>
      <c r="D44" s="259" t="str">
        <f t="shared" si="8"/>
        <v>0.0</v>
      </c>
      <c r="E44" s="253">
        <f>IF(D44="","",D44*'Lab Mix Design'!$K$44/100)</f>
        <v>0</v>
      </c>
      <c r="F44" s="253">
        <f t="shared" si="9"/>
        <v>0</v>
      </c>
      <c r="G44" s="253">
        <f>G43+F44</f>
        <v>0</v>
      </c>
      <c r="H44" s="253" t="s">
        <v>1478</v>
      </c>
      <c r="L44" s="205">
        <v>72</v>
      </c>
      <c r="M44" s="205">
        <v>38.200000000000003</v>
      </c>
    </row>
    <row r="45" spans="1:25" ht="15" customHeight="1">
      <c r="A45" s="257" t="s">
        <v>1456</v>
      </c>
      <c r="B45" s="275">
        <f t="shared" si="7"/>
        <v>0</v>
      </c>
      <c r="C45" s="259">
        <f>'Lab Mix Design'!$K$46*'QMC Gradation'!B45/100</f>
        <v>0</v>
      </c>
      <c r="D45" s="259" t="str">
        <f t="shared" si="8"/>
        <v>0.0</v>
      </c>
      <c r="E45" s="253">
        <f>IF(D45="","",D45*'Lab Mix Design'!$K$44/100)</f>
        <v>0</v>
      </c>
      <c r="F45" s="253">
        <f t="shared" si="9"/>
        <v>0</v>
      </c>
      <c r="G45" s="253">
        <f>G44+F45</f>
        <v>0</v>
      </c>
      <c r="H45" s="253" t="s">
        <v>1478</v>
      </c>
      <c r="L45" s="205">
        <v>75</v>
      </c>
      <c r="M45" s="205">
        <v>26.65</v>
      </c>
    </row>
    <row r="46" spans="1:25" ht="15" customHeight="1">
      <c r="A46" s="257" t="s">
        <v>1454</v>
      </c>
      <c r="B46" s="275">
        <f t="shared" si="7"/>
        <v>0</v>
      </c>
      <c r="C46" s="259">
        <f>'Lab Mix Design'!$K$46*'QMC Gradation'!B46/100</f>
        <v>0</v>
      </c>
      <c r="D46" s="259" t="str">
        <f t="shared" si="8"/>
        <v>0.0</v>
      </c>
      <c r="E46" s="253">
        <f>IF(D46="","",D46*'Lab Mix Design'!$K$44/100)</f>
        <v>0</v>
      </c>
      <c r="F46" s="253">
        <f t="shared" si="9"/>
        <v>0</v>
      </c>
      <c r="G46" s="253">
        <f>G45+F46</f>
        <v>0</v>
      </c>
      <c r="H46" s="253" t="s">
        <v>1478</v>
      </c>
      <c r="L46" s="205">
        <v>75</v>
      </c>
      <c r="M46" s="205">
        <v>39.51</v>
      </c>
    </row>
    <row r="47" spans="1:25" ht="15" customHeight="1">
      <c r="A47" s="257" t="s">
        <v>1453</v>
      </c>
      <c r="B47" s="275">
        <f t="shared" si="7"/>
        <v>0</v>
      </c>
      <c r="C47" s="259">
        <f>'Lab Mix Design'!$K$46*'QMC Gradation'!B47/100</f>
        <v>0</v>
      </c>
      <c r="D47" s="259" t="str">
        <f t="shared" si="8"/>
        <v>0.0</v>
      </c>
      <c r="E47" s="253">
        <f>IF(D47="","",D47*'Lab Mix Design'!$K$44/100)</f>
        <v>0</v>
      </c>
      <c r="F47" s="253">
        <f t="shared" si="9"/>
        <v>0</v>
      </c>
      <c r="G47" s="253" t="s">
        <v>1478</v>
      </c>
      <c r="H47" s="253" t="s">
        <v>1478</v>
      </c>
      <c r="L47" s="205">
        <v>45</v>
      </c>
      <c r="M47" s="205">
        <f>L47*-0.140625+50.06</f>
        <v>43.731875000000002</v>
      </c>
    </row>
    <row r="48" spans="1:25" ht="15" customHeight="1">
      <c r="A48" s="257" t="s">
        <v>1451</v>
      </c>
      <c r="B48" s="275">
        <f t="shared" si="7"/>
        <v>0</v>
      </c>
      <c r="C48" s="259">
        <f>'Lab Mix Design'!$K$46*'QMC Gradation'!B48/100</f>
        <v>0</v>
      </c>
      <c r="D48" s="259" t="str">
        <f t="shared" si="8"/>
        <v>0.0</v>
      </c>
      <c r="E48" s="253">
        <f>IF(D48="","",D48*'Lab Mix Design'!$K$44/100)</f>
        <v>0</v>
      </c>
      <c r="F48" s="253">
        <f t="shared" si="9"/>
        <v>0</v>
      </c>
      <c r="G48" s="253" t="s">
        <v>1478</v>
      </c>
      <c r="H48" s="253" t="s">
        <v>1478</v>
      </c>
      <c r="L48" s="205">
        <v>45</v>
      </c>
      <c r="M48" s="205">
        <f>L48*-0.140625+37.2</f>
        <v>30.871875000000003</v>
      </c>
    </row>
    <row r="49" spans="1:13" ht="15" customHeight="1">
      <c r="A49" s="257" t="s">
        <v>1450</v>
      </c>
      <c r="B49" s="275">
        <f t="shared" si="7"/>
        <v>0</v>
      </c>
      <c r="C49" s="259">
        <f>'Lab Mix Design'!$K$46*'QMC Gradation'!B49/100</f>
        <v>0</v>
      </c>
      <c r="D49" s="259" t="str">
        <f t="shared" si="8"/>
        <v>0.0</v>
      </c>
      <c r="E49" s="253">
        <f>IF(D49="","",D49*'Lab Mix Design'!$K$44/100)</f>
        <v>0</v>
      </c>
      <c r="F49" s="253">
        <f t="shared" si="9"/>
        <v>0</v>
      </c>
      <c r="G49" s="253" t="s">
        <v>1478</v>
      </c>
      <c r="H49" s="253" t="s">
        <v>1478</v>
      </c>
      <c r="L49" s="205">
        <v>45</v>
      </c>
      <c r="M49" s="205">
        <v>40.31</v>
      </c>
    </row>
    <row r="50" spans="1:13">
      <c r="A50" s="257" t="s">
        <v>1447</v>
      </c>
      <c r="B50" s="275">
        <f t="shared" si="7"/>
        <v>0</v>
      </c>
      <c r="C50" s="259">
        <f>'Lab Mix Design'!$K$46*'QMC Gradation'!B50/100</f>
        <v>0</v>
      </c>
      <c r="D50" s="259" t="str">
        <f t="shared" si="8"/>
        <v>0.0</v>
      </c>
      <c r="E50" s="253">
        <f>IF(D50="","",D50*'Lab Mix Design'!$K$44/100)</f>
        <v>0</v>
      </c>
      <c r="F50" s="253">
        <f t="shared" si="9"/>
        <v>0</v>
      </c>
      <c r="G50" s="253" t="s">
        <v>1478</v>
      </c>
      <c r="H50" s="253" t="s">
        <v>1478</v>
      </c>
      <c r="L50" s="205">
        <v>72</v>
      </c>
      <c r="M50" s="205">
        <v>36.515000000000001</v>
      </c>
    </row>
    <row r="51" spans="1:13">
      <c r="A51" s="257" t="s">
        <v>1445</v>
      </c>
      <c r="B51" s="275">
        <f>B29-B30</f>
        <v>0</v>
      </c>
      <c r="C51" s="259">
        <f>'Lab Mix Design'!$K$46*'QMC Gradation'!B51/100</f>
        <v>0</v>
      </c>
      <c r="D51" s="259" t="str">
        <f t="shared" si="8"/>
        <v>0.0</v>
      </c>
      <c r="E51" s="253">
        <f>IF(D51="","",D51*'Lab Mix Design'!$K$44/100)</f>
        <v>0</v>
      </c>
      <c r="F51" s="253">
        <f t="shared" si="9"/>
        <v>0</v>
      </c>
      <c r="G51" s="253" t="s">
        <v>1478</v>
      </c>
      <c r="H51" s="253" t="s">
        <v>1478</v>
      </c>
      <c r="L51" s="205">
        <v>45</v>
      </c>
      <c r="M51" s="205">
        <v>42.02</v>
      </c>
    </row>
    <row r="52" spans="1:13">
      <c r="A52" s="265" t="s">
        <v>1485</v>
      </c>
      <c r="B52" s="276">
        <f>B31</f>
        <v>0</v>
      </c>
      <c r="C52" s="266">
        <f>'Lab Mix Design'!$K$46*'QMC Gradation'!B52/100</f>
        <v>0</v>
      </c>
      <c r="D52" s="266" t="str">
        <f>IF(B$15=0,"0.0",C31-C34)</f>
        <v>0.0</v>
      </c>
      <c r="E52" s="266">
        <f>IF(D52="","",D52*'Lab Mix Design'!$K$44/100)</f>
        <v>0</v>
      </c>
      <c r="F52" s="266">
        <f t="shared" si="9"/>
        <v>0</v>
      </c>
      <c r="G52" s="266">
        <f>SUM(F47:F52)</f>
        <v>0</v>
      </c>
      <c r="H52" s="266" t="s">
        <v>1478</v>
      </c>
      <c r="L52" s="205">
        <v>72</v>
      </c>
      <c r="M52" s="205">
        <v>38.200000000000003</v>
      </c>
    </row>
    <row r="53" spans="1:13">
      <c r="A53" s="277"/>
      <c r="B53" s="267">
        <f>SUM(B40:B52)</f>
        <v>100</v>
      </c>
      <c r="C53" s="267">
        <f>SUM(C40:C52)</f>
        <v>0</v>
      </c>
      <c r="D53" s="267" t="str">
        <f>IF(B15=0,"",SUM(D40:D52))</f>
        <v/>
      </c>
      <c r="E53" s="267" t="str">
        <f>IF(B15=0,"",SUM(E40:E52))</f>
        <v/>
      </c>
      <c r="F53" s="267">
        <f>SUM(F40:F52)</f>
        <v>0</v>
      </c>
      <c r="G53" s="267">
        <f>G46+G52</f>
        <v>0</v>
      </c>
      <c r="H53" s="267">
        <f>'Lab Mix Design'!K42</f>
        <v>0</v>
      </c>
      <c r="L53" s="205">
        <v>72</v>
      </c>
      <c r="M53" s="205">
        <v>29.8</v>
      </c>
    </row>
    <row r="54" spans="1:13">
      <c r="L54" s="205">
        <v>72</v>
      </c>
      <c r="M54" s="205">
        <v>39.93</v>
      </c>
    </row>
    <row r="55" spans="1:13" ht="14.25">
      <c r="F55" s="278"/>
      <c r="L55" s="205">
        <v>75</v>
      </c>
      <c r="M55" s="205">
        <v>28.15</v>
      </c>
    </row>
    <row r="56" spans="1:13" ht="15.75">
      <c r="A56" s="279" t="s">
        <v>1486</v>
      </c>
      <c r="B56" s="278"/>
      <c r="D56" s="280">
        <f>(((F20+F21+F22+F23+F24)/(F20+F21+F22+F23+F24+F25+F26))*100)</f>
        <v>100</v>
      </c>
      <c r="F56" s="278"/>
      <c r="G56" s="277"/>
      <c r="H56" s="277" t="s">
        <v>1429</v>
      </c>
      <c r="L56" s="205">
        <v>75</v>
      </c>
      <c r="M56" s="205">
        <v>39.51</v>
      </c>
    </row>
    <row r="57" spans="1:13" ht="15.75">
      <c r="A57" s="279" t="s">
        <v>1487</v>
      </c>
      <c r="B57" s="278"/>
      <c r="D57" s="280">
        <f>+E26</f>
        <v>0</v>
      </c>
      <c r="E57" s="278"/>
      <c r="G57" s="281" t="s">
        <v>1488</v>
      </c>
      <c r="H57" s="282">
        <f>SUM(F26:F28)</f>
        <v>0</v>
      </c>
      <c r="I57" s="512" t="s">
        <v>1489</v>
      </c>
      <c r="L57" s="205">
        <v>45</v>
      </c>
      <c r="M57" s="205">
        <f>L57*-0.140625+50.06</f>
        <v>43.731875000000002</v>
      </c>
    </row>
    <row r="58" spans="1:13" ht="15.75">
      <c r="A58" s="279" t="s">
        <v>1490</v>
      </c>
      <c r="B58" s="278"/>
      <c r="D58" s="280">
        <f>+E26+(('Lab Mix Design'!J39-564)/94)*2.5</f>
        <v>-15</v>
      </c>
      <c r="E58" s="283" t="s">
        <v>1464</v>
      </c>
      <c r="F58" s="284"/>
      <c r="G58" s="285" t="s">
        <v>1491</v>
      </c>
      <c r="H58" s="282">
        <f>SUM(F28:F31)</f>
        <v>0</v>
      </c>
      <c r="I58" s="512" t="s">
        <v>1492</v>
      </c>
      <c r="L58" s="205">
        <v>45</v>
      </c>
      <c r="M58" s="205">
        <v>32.5</v>
      </c>
    </row>
    <row r="59" spans="1:13" ht="14.25">
      <c r="A59" s="286" t="s">
        <v>1493</v>
      </c>
      <c r="D59" s="287">
        <f>(800-(SUM(B24:B30)+B22))/100</f>
        <v>8</v>
      </c>
      <c r="E59" s="682" t="s">
        <v>1494</v>
      </c>
      <c r="F59" s="683"/>
      <c r="G59" s="683"/>
      <c r="L59" s="205">
        <v>30</v>
      </c>
      <c r="M59" s="205">
        <v>34.5</v>
      </c>
    </row>
    <row r="60" spans="1:13" ht="14.25">
      <c r="A60" s="286" t="s">
        <v>1578</v>
      </c>
      <c r="D60" s="287" t="str">
        <f>IF(B15=0,"-",(800-(SUM(C24:C30)+C22))/100)</f>
        <v>-</v>
      </c>
      <c r="E60" s="682"/>
      <c r="F60" s="683"/>
      <c r="G60" s="683"/>
      <c r="L60" s="205">
        <v>80</v>
      </c>
      <c r="M60" s="205">
        <v>27.5</v>
      </c>
    </row>
    <row r="61" spans="1:13" ht="14.25">
      <c r="A61" s="286" t="s">
        <v>1495</v>
      </c>
      <c r="D61" s="287">
        <f>(800-(SUM(D24:D30)+D22))/100</f>
        <v>7</v>
      </c>
      <c r="E61" s="682"/>
      <c r="F61" s="683"/>
      <c r="G61" s="683"/>
    </row>
    <row r="62" spans="1:13" ht="14.25">
      <c r="A62" s="286" t="s">
        <v>1496</v>
      </c>
      <c r="D62" s="287">
        <f>(800-(SUM(E24:E30)+E22))/100</f>
        <v>8</v>
      </c>
      <c r="E62" s="682"/>
      <c r="F62" s="683"/>
      <c r="G62" s="683"/>
    </row>
  </sheetData>
  <sheetProtection algorithmName="SHA-512" hashValue="Ua+nwVBK9Y36i8h7aFvtNyS76CMJP6vm+0TZQ/QHdM1MWv6fPDYIT2vkXLkfV8A9cIRtjoxGTFB0QLA5sUeHsw==" saltValue="rAW8UFk1Y/gPSJXwsSJD2A==" spinCount="100000" sheet="1" objects="1" scenarios="1"/>
  <mergeCells count="14">
    <mergeCell ref="F3:H8"/>
    <mergeCell ref="E59:G62"/>
    <mergeCell ref="C14:E14"/>
    <mergeCell ref="F14:H14"/>
    <mergeCell ref="G16:I16"/>
    <mergeCell ref="B36:H36"/>
    <mergeCell ref="B37:C37"/>
    <mergeCell ref="D37:E37"/>
    <mergeCell ref="C11:E11"/>
    <mergeCell ref="F11:H11"/>
    <mergeCell ref="C12:E12"/>
    <mergeCell ref="F12:H12"/>
    <mergeCell ref="C13:E13"/>
    <mergeCell ref="F13:H13"/>
  </mergeCells>
  <pageMargins left="0.75" right="0.75" top="1" bottom="1" header="0.5" footer="0.5"/>
  <pageSetup scale="62" orientation="portrait" horizontalDpi="300" verticalDpi="300" r:id="rId1"/>
  <headerFooter alignWithMargins="0"/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6DDD87B20D3B4E8BA3329D1F73F3FD" ma:contentTypeVersion="11" ma:contentTypeDescription="Create a new document." ma:contentTypeScope="" ma:versionID="fc8896c9913dac40a9752354d20b4c27">
  <xsd:schema xmlns:xsd="http://www.w3.org/2001/XMLSchema" xmlns:xs="http://www.w3.org/2001/XMLSchema" xmlns:p="http://schemas.microsoft.com/office/2006/metadata/properties" xmlns:ns3="1955b6a4-2d87-4690-8190-2eb4b09ca27e" xmlns:ns4="b5569257-ea7f-4abd-949f-b97d37e36e1a" targetNamespace="http://schemas.microsoft.com/office/2006/metadata/properties" ma:root="true" ma:fieldsID="63cbcfe772dcabfbaf8d6d82ac32b716" ns3:_="" ns4:_="">
    <xsd:import namespace="1955b6a4-2d87-4690-8190-2eb4b09ca27e"/>
    <xsd:import namespace="b5569257-ea7f-4abd-949f-b97d37e36e1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5b6a4-2d87-4690-8190-2eb4b09ca2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69257-ea7f-4abd-949f-b97d37e36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AC3E58-558B-4094-9237-F529F0D3C5D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1955b6a4-2d87-4690-8190-2eb4b09ca27e"/>
    <ds:schemaRef ds:uri="b5569257-ea7f-4abd-949f-b97d37e36e1a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02EEEE-0A3B-47A9-BB58-21F991EF4985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3FB7BD0-57E9-4E1F-A701-746F4DF356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27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36" baseType="lpstr">
      <vt:lpstr>Mix Info</vt:lpstr>
      <vt:lpstr>Substitution</vt:lpstr>
      <vt:lpstr> Form E820150</vt:lpstr>
      <vt:lpstr>QMC Mix Adjustment Form</vt:lpstr>
      <vt:lpstr>Batch Wts. English</vt:lpstr>
      <vt:lpstr>Batch Wts. Metric</vt:lpstr>
      <vt:lpstr>Form E820150M</vt:lpstr>
      <vt:lpstr>E820150A</vt:lpstr>
      <vt:lpstr>QMC Gradation</vt:lpstr>
      <vt:lpstr>955QMC</vt:lpstr>
      <vt:lpstr>Lab Mix Design</vt:lpstr>
      <vt:lpstr>CA</vt:lpstr>
      <vt:lpstr>FA</vt:lpstr>
      <vt:lpstr>CEMENT</vt:lpstr>
      <vt:lpstr>FLYASH</vt:lpstr>
      <vt:lpstr>SLAG</vt:lpstr>
      <vt:lpstr>ADMIX-AIR</vt:lpstr>
      <vt:lpstr>ADMIX-WR</vt:lpstr>
      <vt:lpstr>ADMIX-MR</vt:lpstr>
      <vt:lpstr>ADMIX-HR</vt:lpstr>
      <vt:lpstr>ADMIX-RETARDER</vt:lpstr>
      <vt:lpstr>ADMIX-SP</vt:lpstr>
      <vt:lpstr>FIBERS</vt:lpstr>
      <vt:lpstr>COMB-WR-MR</vt:lpstr>
      <vt:lpstr>ADMIX-CO2</vt:lpstr>
      <vt:lpstr>ADMIX-FF</vt:lpstr>
      <vt:lpstr>COUNTIES</vt:lpstr>
      <vt:lpstr>%Retained-Tarantula</vt:lpstr>
      <vt:lpstr>Power</vt:lpstr>
      <vt:lpstr>CW</vt:lpstr>
      <vt:lpstr>Article</vt:lpstr>
      <vt:lpstr>MIX</vt:lpstr>
      <vt:lpstr>' Form E820150'!Print_Area</vt:lpstr>
      <vt:lpstr>'Lab Mix Design'!Print_Area</vt:lpstr>
      <vt:lpstr>'Mix Info'!Print_Area</vt:lpstr>
      <vt:lpstr>'QMC Gradation'!Print_Area</vt:lpstr>
    </vt:vector>
  </TitlesOfParts>
  <Company>IA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Hart</dc:creator>
  <cp:lastModifiedBy>Barko, Christian</cp:lastModifiedBy>
  <cp:lastPrinted>2021-09-07T16:29:32Z</cp:lastPrinted>
  <dcterms:created xsi:type="dcterms:W3CDTF">2000-02-28T16:48:30Z</dcterms:created>
  <dcterms:modified xsi:type="dcterms:W3CDTF">2026-04-09T19:31:49Z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0x010100246DDD87B20D3B4E8BA3329D1F73F3FD</vt:lpwstr>
  </property>
  <property fmtid="{D5CDD505-2E9C-101B-9397-08002B2CF9AE}" pid="3" name="Folder_Number">
    <vt:lpwstr/>
  </property>
  <property fmtid="{D5CDD505-2E9C-101B-9397-08002B2CF9AE}" pid="4" name="Folder_Code">
    <vt:lpwstr/>
  </property>
  <property fmtid="{D5CDD505-2E9C-101B-9397-08002B2CF9AE}" pid="5" name="Folder_Name">
    <vt:lpwstr/>
  </property>
  <property fmtid="{D5CDD505-2E9C-101B-9397-08002B2CF9AE}" pid="6" name="Folder_Description">
    <vt:lpwstr/>
  </property>
  <property fmtid="{D5CDD505-2E9C-101B-9397-08002B2CF9AE}" pid="7" name="/Folder_Name/">
    <vt:lpwstr/>
  </property>
  <property fmtid="{D5CDD505-2E9C-101B-9397-08002B2CF9AE}" pid="8" name="/Folder_Description/">
    <vt:lpwstr/>
  </property>
  <property fmtid="{D5CDD505-2E9C-101B-9397-08002B2CF9AE}" pid="9" name="Folder_Version">
    <vt:lpwstr/>
  </property>
  <property fmtid="{D5CDD505-2E9C-101B-9397-08002B2CF9AE}" pid="10" name="Folder_VersionSeq">
    <vt:lpwstr/>
  </property>
  <property fmtid="{D5CDD505-2E9C-101B-9397-08002B2CF9AE}" pid="11" name="Folder_Manager">
    <vt:lpwstr/>
  </property>
  <property fmtid="{D5CDD505-2E9C-101B-9397-08002B2CF9AE}" pid="12" name="Folder_ManagerDesc">
    <vt:lpwstr/>
  </property>
  <property fmtid="{D5CDD505-2E9C-101B-9397-08002B2CF9AE}" pid="13" name="Folder_Storage">
    <vt:lpwstr/>
  </property>
  <property fmtid="{D5CDD505-2E9C-101B-9397-08002B2CF9AE}" pid="14" name="Folder_StorageDesc">
    <vt:lpwstr/>
  </property>
  <property fmtid="{D5CDD505-2E9C-101B-9397-08002B2CF9AE}" pid="15" name="Folder_Creator">
    <vt:lpwstr/>
  </property>
  <property fmtid="{D5CDD505-2E9C-101B-9397-08002B2CF9AE}" pid="16" name="Folder_CreatorDesc">
    <vt:lpwstr/>
  </property>
  <property fmtid="{D5CDD505-2E9C-101B-9397-08002B2CF9AE}" pid="17" name="Folder_CreateDate">
    <vt:lpwstr/>
  </property>
  <property fmtid="{D5CDD505-2E9C-101B-9397-08002B2CF9AE}" pid="18" name="Folder_Updater">
    <vt:lpwstr/>
  </property>
  <property fmtid="{D5CDD505-2E9C-101B-9397-08002B2CF9AE}" pid="19" name="Folder_UpdaterDesc">
    <vt:lpwstr/>
  </property>
  <property fmtid="{D5CDD505-2E9C-101B-9397-08002B2CF9AE}" pid="20" name="Folder_UpdateDate">
    <vt:lpwstr/>
  </property>
  <property fmtid="{D5CDD505-2E9C-101B-9397-08002B2CF9AE}" pid="21" name="Document_Number">
    <vt:lpwstr/>
  </property>
  <property fmtid="{D5CDD505-2E9C-101B-9397-08002B2CF9AE}" pid="22" name="Document_Name">
    <vt:lpwstr/>
  </property>
  <property fmtid="{D5CDD505-2E9C-101B-9397-08002B2CF9AE}" pid="23" name="Document_FileName">
    <vt:lpwstr/>
  </property>
  <property fmtid="{D5CDD505-2E9C-101B-9397-08002B2CF9AE}" pid="24" name="Document_Version">
    <vt:lpwstr/>
  </property>
  <property fmtid="{D5CDD505-2E9C-101B-9397-08002B2CF9AE}" pid="25" name="Document_VersionSeq">
    <vt:lpwstr/>
  </property>
  <property fmtid="{D5CDD505-2E9C-101B-9397-08002B2CF9AE}" pid="26" name="Document_Creator">
    <vt:lpwstr/>
  </property>
  <property fmtid="{D5CDD505-2E9C-101B-9397-08002B2CF9AE}" pid="27" name="Document_CreatorDesc">
    <vt:lpwstr/>
  </property>
  <property fmtid="{D5CDD505-2E9C-101B-9397-08002B2CF9AE}" pid="28" name="Document_CreateDate">
    <vt:lpwstr/>
  </property>
  <property fmtid="{D5CDD505-2E9C-101B-9397-08002B2CF9AE}" pid="29" name="Document_Updater">
    <vt:lpwstr/>
  </property>
  <property fmtid="{D5CDD505-2E9C-101B-9397-08002B2CF9AE}" pid="30" name="Document_UpdaterDesc">
    <vt:lpwstr/>
  </property>
  <property fmtid="{D5CDD505-2E9C-101B-9397-08002B2CF9AE}" pid="31" name="Document_UpdateDate">
    <vt:lpwstr/>
  </property>
  <property fmtid="{D5CDD505-2E9C-101B-9397-08002B2CF9AE}" pid="32" name="Document_Size">
    <vt:lpwstr/>
  </property>
  <property fmtid="{D5CDD505-2E9C-101B-9397-08002B2CF9AE}" pid="33" name="Document_Storage">
    <vt:lpwstr/>
  </property>
  <property fmtid="{D5CDD505-2E9C-101B-9397-08002B2CF9AE}" pid="34" name="Document_StorageDesc">
    <vt:lpwstr/>
  </property>
  <property fmtid="{D5CDD505-2E9C-101B-9397-08002B2CF9AE}" pid="35" name="Document_Department">
    <vt:lpwstr/>
  </property>
  <property fmtid="{D5CDD505-2E9C-101B-9397-08002B2CF9AE}" pid="36" name="Document_DepartmentDesc">
    <vt:lpwstr/>
  </property>
  <property fmtid="{D5CDD505-2E9C-101B-9397-08002B2CF9AE}" pid="37" name="MSIP_Label_0faac733-ded1-41e0-8ea6-961193f81247_Enabled">
    <vt:lpwstr>true</vt:lpwstr>
  </property>
  <property fmtid="{D5CDD505-2E9C-101B-9397-08002B2CF9AE}" pid="38" name="MSIP_Label_0faac733-ded1-41e0-8ea6-961193f81247_SetDate">
    <vt:lpwstr>2025-08-20T20:31:37Z</vt:lpwstr>
  </property>
  <property fmtid="{D5CDD505-2E9C-101B-9397-08002B2CF9AE}" pid="39" name="MSIP_Label_0faac733-ded1-41e0-8ea6-961193f81247_Method">
    <vt:lpwstr>Standard</vt:lpwstr>
  </property>
  <property fmtid="{D5CDD505-2E9C-101B-9397-08002B2CF9AE}" pid="40" name="MSIP_Label_0faac733-ded1-41e0-8ea6-961193f81247_Name">
    <vt:lpwstr>defa4170-0d19-0005-0004-bc88714345d2</vt:lpwstr>
  </property>
  <property fmtid="{D5CDD505-2E9C-101B-9397-08002B2CF9AE}" pid="41" name="MSIP_Label_0faac733-ded1-41e0-8ea6-961193f81247_SiteId">
    <vt:lpwstr>a1e65fcc-32fa-4fdd-8692-0cc2eb06676e</vt:lpwstr>
  </property>
  <property fmtid="{D5CDD505-2E9C-101B-9397-08002B2CF9AE}" pid="42" name="MSIP_Label_0faac733-ded1-41e0-8ea6-961193f81247_ActionId">
    <vt:lpwstr>f087bf8a-c0d5-42c4-8be8-fb50f60904a6</vt:lpwstr>
  </property>
  <property fmtid="{D5CDD505-2E9C-101B-9397-08002B2CF9AE}" pid="43" name="MSIP_Label_0faac733-ded1-41e0-8ea6-961193f81247_ContentBits">
    <vt:lpwstr>0</vt:lpwstr>
  </property>
</Properties>
</file>